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Loan Details" state="visible" r:id="rId5"/>
    <sheet sheetId="3" name="Repayment Schedule" state="visible" r:id="rId6"/>
    <sheet sheetId="4" name="Payments Log" state="visible" r:id="rId7"/>
    <sheet sheetId="5" name="Summary" state="visible" r:id="rId8"/>
  </sheets>
  <calcPr calcId="171027" fullCalcOnLoad="1"/>
</workbook>
</file>

<file path=xl/sharedStrings.xml><?xml version="1.0" encoding="utf-8"?>
<sst xmlns="http://schemas.openxmlformats.org/spreadsheetml/2006/main" count="53" uniqueCount="50">
  <si>
    <t>LeadAfrik</t>
  </si>
  <si>
    <t>Farm Loan &amp; SACCO Repayment Tracker</t>
  </si>
  <si>
    <t>Your loan, worked out to the last shilling: a real reducing-balance schedule, a payments log, your live balance, and a reminder the moment a payment falls due.</t>
  </si>
  <si>
    <t>How to use it</t>
  </si>
  <si>
    <t>1.  On Loan Details, fill the yellow cells: amount borrowed, the annual interest rate, the term in months, and the date the loan started.</t>
  </si>
  <si>
    <t>2.  The Repayment Schedule fills itself — every month’s payment, how much is interest, how much clears the balance, and the balance left after.</t>
  </si>
  <si>
    <t>3.  Each time you pay, add a row on Payments Log (date, amount, method). Your balance and “payments made” update automatically.</t>
  </si>
  <si>
    <t>4.  Watch the Schedule’s Status column: it turns a payment DUE SOON, then OVERDUE if the date passes before you’ve logged it.</t>
  </si>
  <si>
    <t>Colour guide</t>
  </si>
  <si>
    <t xml:space="preserve">   Yellow cells — type here. These are the only cells you edit.</t>
  </si>
  <si>
    <t xml:space="preserve">   White cells — automatic formulas. Locked so the maths can’t break.</t>
  </si>
  <si>
    <t xml:space="preserve">   Red — needs attention (overdue, low stock, over budget).</t>
  </si>
  <si>
    <t xml:space="preserve">   Green — good news (paid, on target, healthy stock).</t>
  </si>
  <si>
    <t>Works in Excel or Google Sheets. On your phone, upload to Google Drive and open with Google Sheets.</t>
  </si>
  <si>
    <t>Want a dashboard, a printable statement and Swahili labels? Get the Premium version at leadafrik.com/templates.</t>
  </si>
  <si>
    <t>© LeadAfrik · leadafrik.com/templates · Built to be used.</t>
  </si>
  <si>
    <t>Loan Details</t>
  </si>
  <si>
    <t>All money in KES. Reducing-balance (most SACCO &amp; bank loans work this way).</t>
  </si>
  <si>
    <t>Loan amount borrowed</t>
  </si>
  <si>
    <t>Annual interest rate %</t>
  </si>
  <si>
    <t>Term (number of months)</t>
  </si>
  <si>
    <t>Loan start date</t>
  </si>
  <si>
    <t>Summary</t>
  </si>
  <si>
    <t>Monthly payment (PMT)</t>
  </si>
  <si>
    <t>Total to repay</t>
  </si>
  <si>
    <t>Total interest</t>
  </si>
  <si>
    <t>Payments made (count)</t>
  </si>
  <si>
    <t>Total paid so far</t>
  </si>
  <si>
    <t>Balance remaining</t>
  </si>
  <si>
    <t>Next payment due</t>
  </si>
  <si>
    <t>The Schedule assumes the first payment falls one month after the start date. Log actual payments on the Payments Log tab.</t>
  </si>
  <si>
    <t>#</t>
  </si>
  <si>
    <t>Payment Date</t>
  </si>
  <si>
    <t>Opening Balance</t>
  </si>
  <si>
    <t>Payment</t>
  </si>
  <si>
    <t>Interest</t>
  </si>
  <si>
    <t>Principal</t>
  </si>
  <si>
    <t>Closing Balance</t>
  </si>
  <si>
    <t>Status</t>
  </si>
  <si>
    <t>Date Paid</t>
  </si>
  <si>
    <t>Amount (KES)</t>
  </si>
  <si>
    <t>Method</t>
  </si>
  <si>
    <t>Reference / Note</t>
  </si>
  <si>
    <t>TOTAL</t>
  </si>
  <si>
    <t>Loan Summary</t>
  </si>
  <si>
    <t>Loan amount</t>
  </si>
  <si>
    <t>Monthly payment</t>
  </si>
  <si>
    <t>Total interest over the loan</t>
  </si>
  <si>
    <t>Payments made</t>
  </si>
  <si>
    <t>Overdue 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</si>
</sst>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;[Red]-#,##0"/>
    <numFmt numFmtId="165" formatCode="0.0%"/>
    <numFmt numFmtId="166" formatCode="dd-mmm-yyyy"/>
    <numFmt numFmtId="167" formatCode="#,##0.00;[Red]-#,##0.00"/>
  </numFmts>
  <fonts count="20" x14ac:knownFonts="1">
    <font>
      <color theme="1"/>
      <family val="2"/>
      <scheme val="minor"/>
      <sz val="11"/>
      <name val="Calibri"/>
    </font>
    <font>
      <b/>
      <color rgb="FFB87A38"/>
      <sz val="12"/>
      <name val="Calibri"/>
    </font>
    <font>
      <b/>
      <color rgb="FF1A2847"/>
      <sz val="20"/>
      <name val="Calibri"/>
    </font>
    <font>
      <i/>
      <color rgb="FF7A8794"/>
      <sz val="12"/>
      <name val="Calibri"/>
    </font>
    <font>
      <b/>
      <color rgb="FF1A2847"/>
      <sz val="13"/>
      <name val="Calibri"/>
    </font>
    <font>
      <color rgb="FF1A2847"/>
      <sz val="11"/>
      <name val="Calibri"/>
    </font>
    <font>
      <sz val="11"/>
      <name val="Calibri"/>
    </font>
    <font>
      <color rgb="FFC0392B"/>
      <sz val="11"/>
      <name val="Calibri"/>
    </font>
    <font>
      <color rgb="FF1F7A4D"/>
      <sz val="11"/>
      <name val="Calibri"/>
    </font>
    <font>
      <i/>
      <color rgb="FF7A8794"/>
      <sz val="11"/>
      <name val="Calibri"/>
    </font>
    <font>
      <b/>
      <color rgb="FFB87A38"/>
      <sz val="11"/>
      <name val="Calibri"/>
    </font>
    <font>
      <i/>
      <color rgb="FF7A8794"/>
      <sz val="10"/>
      <name val="Calibri"/>
    </font>
    <font>
      <b/>
      <sz val="16"/>
      <name val="Calibri"/>
    </font>
    <font>
      <color rgb="FF7A8794"/>
      <sz val="10"/>
      <name val="Calibri"/>
    </font>
    <font>
      <b/>
      <sz val="11"/>
      <name val="Calibri"/>
    </font>
    <font>
      <b/>
      <sz val="13"/>
      <name val="Calibri"/>
    </font>
    <font>
      <b/>
      <color rgb="FF1A2847"/>
      <sz val="11"/>
      <name val="Calibri"/>
    </font>
    <font>
      <color rgb="FFB87A38"/>
      <sz val="11"/>
      <name val="Calibri"/>
    </font>
    <font>
      <b/>
      <color rgb="FFC0392B"/>
      <sz val="11"/>
      <name val="Calibri"/>
    </font>
    <font>
      <b/>
      <color rgb="FFFFFFFF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3D0"/>
      </patternFill>
    </fill>
    <fill>
      <patternFill patternType="solid">
        <fgColor rgb="FF1A2847"/>
      </patternFill>
    </fill>
    <fill>
      <patternFill patternType="solid">
        <fgColor rgb="FFFAF8F3"/>
      </patternFill>
    </fill>
  </fills>
  <borders count="2">
    <border>
      <left/>
      <right/>
      <top/>
      <bottom/>
      <diagonal/>
    </border>
    <border>
      <left style="thin">
        <color rgb="FFE1DACB"/>
      </left>
      <right style="thin">
        <color rgb="FFE1DACB"/>
      </right>
      <top style="thin">
        <color rgb="FFE1DACB"/>
      </top>
      <bottom style="thin">
        <color rgb="FFE1DACB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164" fontId="6" fillId="2" borderId="1" xfId="0" applyNumberFormat="1" applyFont="1" applyFill="1" applyBorder="1" applyProtection="1">
      <protection locked="0"/>
    </xf>
    <xf numFmtId="165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166" fontId="6" fillId="2" borderId="1" xfId="0" applyNumberFormat="1" applyFont="1" applyFill="1" applyBorder="1" applyProtection="1">
      <protection locked="0"/>
    </xf>
    <xf numFmtId="0" fontId="15" fillId="0" borderId="0" xfId="0" applyFont="1"/>
    <xf numFmtId="164" fontId="16" fillId="0" borderId="1" xfId="0" applyNumberFormat="1" applyFont="1" applyBorder="1"/>
    <xf numFmtId="0" fontId="6" fillId="0" borderId="0" xfId="0" applyFont="1"/>
    <xf numFmtId="164" fontId="6" fillId="0" borderId="1" xfId="0" applyNumberFormat="1" applyFont="1" applyBorder="1"/>
    <xf numFmtId="164" fontId="17" fillId="0" borderId="1" xfId="0" applyNumberFormat="1" applyFont="1" applyBorder="1"/>
    <xf numFmtId="1" fontId="6" fillId="0" borderId="1" xfId="0" applyNumberFormat="1" applyFont="1" applyBorder="1"/>
    <xf numFmtId="164" fontId="8" fillId="0" borderId="1" xfId="0" applyNumberFormat="1" applyFont="1" applyBorder="1"/>
    <xf numFmtId="164" fontId="18" fillId="0" borderId="1" xfId="0" applyNumberFormat="1" applyFont="1" applyBorder="1"/>
    <xf numFmtId="166" fontId="14" fillId="0" borderId="1" xfId="0" applyNumberFormat="1" applyFont="1" applyBorder="1"/>
    <xf numFmtId="0" fontId="19" fillId="3" borderId="1" xfId="0" applyFont="1" applyFill="1" applyBorder="1" applyAlignment="1">
      <alignment horizontal="left" vertical="center" wrapText="1"/>
    </xf>
    <xf numFmtId="166" fontId="6" fillId="0" borderId="1" xfId="0" applyNumberFormat="1" applyFont="1" applyBorder="1"/>
    <xf numFmtId="167" fontId="6" fillId="0" borderId="1" xfId="0" applyNumberFormat="1" applyFont="1" applyBorder="1"/>
    <xf numFmtId="0" fontId="6" fillId="0" borderId="1" xfId="0" applyFont="1" applyBorder="1"/>
    <xf numFmtId="1" fontId="6" fillId="4" borderId="1" xfId="0" applyNumberFormat="1" applyFont="1" applyFill="1" applyBorder="1"/>
    <xf numFmtId="166" fontId="6" fillId="4" borderId="1" xfId="0" applyNumberFormat="1" applyFont="1" applyFill="1" applyBorder="1"/>
    <xf numFmtId="167" fontId="6" fillId="4" borderId="1" xfId="0" applyNumberFormat="1" applyFont="1" applyFill="1" applyBorder="1"/>
    <xf numFmtId="0" fontId="6" fillId="4" borderId="1" xfId="0" applyFont="1" applyFill="1" applyBorder="1"/>
    <xf numFmtId="0" fontId="6" fillId="2" borderId="1" xfId="0" applyFont="1" applyFill="1" applyBorder="1" applyProtection="1">
      <protection locked="0"/>
    </xf>
    <xf numFmtId="164" fontId="14" fillId="0" borderId="1" xfId="0" applyNumberFormat="1" applyFont="1" applyBorder="1"/>
    <xf numFmtId="166" fontId="18" fillId="0" borderId="1" xfId="0" applyNumberFormat="1" applyFont="1" applyBorder="1"/>
  </cellXfs>
  <cellStyles count="1">
    <cellStyle name="Normal" xfId="0" builtinId="0"/>
  </cellStyles>
  <dxfs count="3">
    <dxf>
      <font>
        <b/>
        <color rgb="FFC0392B"/>
      </font>
    </dxf>
    <dxf>
      <font>
        <b/>
        <color rgb="FFB87A38"/>
      </font>
    </dxf>
    <dxf>
      <font>
        <color rgb="FF1F7A4D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2:B21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96" style="1" customWidth="1"/>
  </cols>
  <sheetData>
    <row r="2" ht="20.4" customHeight="1" spans="2:2" x14ac:dyDescent="0.25">
      <c r="B2" s="2" t="s">
        <v>0</v>
      </c>
    </row>
    <row r="3" ht="30" customHeight="1" spans="2:2" x14ac:dyDescent="0.25">
      <c r="B3" s="3" t="s">
        <v>1</v>
      </c>
    </row>
    <row r="4" ht="20.4" customHeight="1" spans="2:2" x14ac:dyDescent="0.25">
      <c r="B4" s="4" t="s">
        <v>2</v>
      </c>
    </row>
    <row r="6" ht="22.099999999999998" customHeight="1" spans="2:2" x14ac:dyDescent="0.25">
      <c r="B6" s="5" t="s">
        <v>3</v>
      </c>
    </row>
    <row r="7" ht="18" customHeight="1" spans="2:2" x14ac:dyDescent="0.25">
      <c r="B7" s="6" t="s">
        <v>4</v>
      </c>
    </row>
    <row r="8" ht="18" customHeight="1" spans="2:2" x14ac:dyDescent="0.25">
      <c r="B8" s="6" t="s">
        <v>5</v>
      </c>
    </row>
    <row r="9" ht="18" customHeight="1" spans="2:2" x14ac:dyDescent="0.25">
      <c r="B9" s="6" t="s">
        <v>6</v>
      </c>
    </row>
    <row r="10" ht="18" customHeight="1" spans="2:2" x14ac:dyDescent="0.25">
      <c r="B10" s="6" t="s">
        <v>7</v>
      </c>
    </row>
    <row r="12" ht="22.099999999999998" customHeight="1" spans="2:2" x14ac:dyDescent="0.25">
      <c r="B12" s="5" t="s">
        <v>8</v>
      </c>
    </row>
    <row r="13" ht="18" customHeight="1" spans="2:2" x14ac:dyDescent="0.25">
      <c r="B13" s="7" t="s">
        <v>9</v>
      </c>
    </row>
    <row r="14" ht="18" customHeight="1" spans="2:2" x14ac:dyDescent="0.25">
      <c r="B14" s="6" t="s">
        <v>10</v>
      </c>
    </row>
    <row r="15" ht="18" customHeight="1" spans="2:2" x14ac:dyDescent="0.25">
      <c r="B15" s="8" t="s">
        <v>11</v>
      </c>
    </row>
    <row r="16" ht="18" customHeight="1" spans="2:2" x14ac:dyDescent="0.25">
      <c r="B16" s="9" t="s">
        <v>12</v>
      </c>
    </row>
    <row r="18" ht="18" customHeight="1" spans="2:2" x14ac:dyDescent="0.25">
      <c r="B18" s="10" t="s">
        <v>13</v>
      </c>
    </row>
    <row r="20" ht="18" customHeight="1" spans="2:2" x14ac:dyDescent="0.25">
      <c r="B20" s="11" t="s">
        <v>14</v>
      </c>
    </row>
    <row r="21" ht="17" customHeight="1" spans="2:2" x14ac:dyDescent="0.25">
      <c r="B21" s="12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1:C18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42" customWidth="1"/>
    <col min="3" max="3" width="22" customWidth="1"/>
  </cols>
  <sheetData>
    <row r="1" spans="2:2" x14ac:dyDescent="0.25">
      <c r="B1" s="13" t="s">
        <v>16</v>
      </c>
    </row>
    <row r="2" spans="2:2" x14ac:dyDescent="0.25">
      <c r="B2" s="14" t="s">
        <v>17</v>
      </c>
    </row>
    <row r="4" spans="2:3" x14ac:dyDescent="0.25">
      <c r="B4" s="15" t="s">
        <v>18</v>
      </c>
      <c r="C4" s="16">
        <v>200000</v>
      </c>
    </row>
    <row r="5" spans="2:3" x14ac:dyDescent="0.25">
      <c r="B5" s="15" t="s">
        <v>19</v>
      </c>
      <c r="C5" s="17">
        <v>0.14</v>
      </c>
    </row>
    <row r="6" spans="2:3" x14ac:dyDescent="0.25">
      <c r="B6" s="15" t="s">
        <v>20</v>
      </c>
      <c r="C6" s="18">
        <v>24</v>
      </c>
    </row>
    <row r="7" spans="2:3" x14ac:dyDescent="0.25">
      <c r="B7" s="15" t="s">
        <v>21</v>
      </c>
      <c r="C7" s="19">
        <v>46037</v>
      </c>
    </row>
    <row r="9" spans="2:2" x14ac:dyDescent="0.25">
      <c r="B9" s="20" t="s">
        <v>22</v>
      </c>
    </row>
    <row r="10" spans="2:3" x14ac:dyDescent="0.25">
      <c r="B10" s="15" t="s">
        <v>23</v>
      </c>
      <c r="C10" s="21">
        <f>IF(OR(N(C6)=0),"",-PMT(C5/12,C6,C4))</f>
      </c>
    </row>
    <row r="11" spans="2:3" x14ac:dyDescent="0.25">
      <c r="B11" s="22" t="s">
        <v>24</v>
      </c>
      <c r="C11" s="23">
        <f>IF(C10="","",C10*C6)</f>
      </c>
    </row>
    <row r="12" spans="2:3" x14ac:dyDescent="0.25">
      <c r="B12" s="22" t="s">
        <v>25</v>
      </c>
      <c r="C12" s="24">
        <f>IF(C10="","",C10*C6-C4)</f>
      </c>
    </row>
    <row r="13" spans="2:3" x14ac:dyDescent="0.25">
      <c r="B13" s="22" t="s">
        <v>26</v>
      </c>
      <c r="C13" s="25">
        <f>COUNT('Payments Log'!$B$2:$B$81)</f>
      </c>
    </row>
    <row r="14" spans="2:3" x14ac:dyDescent="0.25">
      <c r="B14" s="22" t="s">
        <v>27</v>
      </c>
      <c r="C14" s="26">
        <f>SUM('Payments Log'!$B$2:$B$81)</f>
      </c>
    </row>
    <row r="15" spans="2:3" x14ac:dyDescent="0.25">
      <c r="B15" s="15" t="s">
        <v>28</v>
      </c>
      <c r="C15" s="27">
        <f>IF(C10="","",IF(N(C13)=0,C4,IF(N(C13)&gt;=C6,0,INDEX('Repayment Schedule'!$G$2:$G$121,C13))))</f>
      </c>
    </row>
    <row r="16" spans="2:3" x14ac:dyDescent="0.25">
      <c r="B16" s="15" t="s">
        <v>29</v>
      </c>
      <c r="C16" s="28">
        <f>IF(C10="","",IF(N(C13)&gt;=C6,"Loan cleared",INDEX('Repayment Schedule'!$B$2:$B$121,C13+1)))</f>
      </c>
    </row>
    <row r="18" ht="30" customHeight="1" spans="2:3" x14ac:dyDescent="0.25">
      <c r="B18" s="14" t="s">
        <v>30</v>
      </c>
      <c r="C18" s="14"/>
    </row>
  </sheetData>
  <sheetProtection sheet="1" formatColumns="0" formatRows="0" sort="0" autoFilter="0"/>
  <mergeCells count="1">
    <mergeCell ref="B18:C18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A1:H12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15" customWidth="1"/>
    <col min="3" max="3" width="17" customWidth="1"/>
    <col min="4" max="4" width="15" customWidth="1"/>
    <col min="5" max="6" width="14" customWidth="1"/>
    <col min="7" max="7" width="17" customWidth="1"/>
    <col min="8" max="8" width="14" customWidth="1"/>
  </cols>
  <sheetData>
    <row r="1" ht="26" customHeight="1" spans="1:8" x14ac:dyDescent="0.25">
      <c r="A1" s="29" t="s">
        <v>31</v>
      </c>
      <c r="B1" s="29" t="s">
        <v>32</v>
      </c>
      <c r="C1" s="29" t="s">
        <v>33</v>
      </c>
      <c r="D1" s="29" t="s">
        <v>34</v>
      </c>
      <c r="E1" s="29" t="s">
        <v>35</v>
      </c>
      <c r="F1" s="29" t="s">
        <v>36</v>
      </c>
      <c r="G1" s="29" t="s">
        <v>37</v>
      </c>
      <c r="H1" s="29" t="s">
        <v>38</v>
      </c>
    </row>
    <row r="2" spans="1:8" x14ac:dyDescent="0.25">
      <c r="A2" s="25">
        <v>1</v>
      </c>
      <c r="B2" s="30">
        <f>IF(C2="","",EDATE('Loan Details'!$C$7,1))</f>
      </c>
      <c r="C2" s="31">
        <f>IF(OR(1&gt;N('Loan Details'!$C$6),NOT(ISNUMBER('Loan Details'!$C$10))),"",'Loan Details'!$C$4)</f>
      </c>
      <c r="D2" s="31">
        <f>IF(C2="","",MIN('Loan Details'!$C$10,C2+E2))</f>
      </c>
      <c r="E2" s="31">
        <f>IF(C2="","",C2*'Loan Details'!$C$5/12)</f>
      </c>
      <c r="F2" s="31">
        <f>IF(C2="","",D2-E2)</f>
      </c>
      <c r="G2" s="31">
        <f>IF(C2="","",C2-F2)</f>
      </c>
      <c r="H2" s="32">
        <f>IF(C2="","",IF(1&lt;=N('Loan Details'!$C$13),"Paid",IF(B2&lt;TODAY(),"OVERDUE",IF(B2&lt;=TODAY()+7,"DUE SOON","Upcoming"))))</f>
      </c>
    </row>
    <row r="3" spans="1:8" x14ac:dyDescent="0.25">
      <c r="A3" s="33">
        <v>2</v>
      </c>
      <c r="B3" s="34">
        <f>IF(C3="","",EDATE('Loan Details'!$C$7,2))</f>
      </c>
      <c r="C3" s="35">
        <f>IF(OR(2&gt;N('Loan Details'!$C$6),NOT(ISNUMBER('Loan Details'!$C$10)),G2=""),"",G2)</f>
      </c>
      <c r="D3" s="35">
        <f>IF(C3="","",MIN('Loan Details'!$C$10,C3+E3))</f>
      </c>
      <c r="E3" s="35">
        <f>IF(C3="","",C3*'Loan Details'!$C$5/12)</f>
      </c>
      <c r="F3" s="35">
        <f>IF(C3="","",D3-E3)</f>
      </c>
      <c r="G3" s="35">
        <f>IF(C3="","",C3-F3)</f>
      </c>
      <c r="H3" s="36">
        <f>IF(C3="","",IF(2&lt;=N('Loan Details'!$C$13),"Paid",IF(B3&lt;TODAY(),"OVERDUE",IF(B3&lt;=TODAY()+7,"DUE SOON","Upcoming"))))</f>
      </c>
    </row>
    <row r="4" spans="1:8" x14ac:dyDescent="0.25">
      <c r="A4" s="25">
        <v>3</v>
      </c>
      <c r="B4" s="30">
        <f>IF(C4="","",EDATE('Loan Details'!$C$7,3))</f>
      </c>
      <c r="C4" s="31">
        <f>IF(OR(3&gt;N('Loan Details'!$C$6),NOT(ISNUMBER('Loan Details'!$C$10)),G3=""),"",G3)</f>
      </c>
      <c r="D4" s="31">
        <f>IF(C4="","",MIN('Loan Details'!$C$10,C4+E4))</f>
      </c>
      <c r="E4" s="31">
        <f>IF(C4="","",C4*'Loan Details'!$C$5/12)</f>
      </c>
      <c r="F4" s="31">
        <f>IF(C4="","",D4-E4)</f>
      </c>
      <c r="G4" s="31">
        <f>IF(C4="","",C4-F4)</f>
      </c>
      <c r="H4" s="32">
        <f>IF(C4="","",IF(3&lt;=N('Loan Details'!$C$13),"Paid",IF(B4&lt;TODAY(),"OVERDUE",IF(B4&lt;=TODAY()+7,"DUE SOON","Upcoming"))))</f>
      </c>
    </row>
    <row r="5" spans="1:8" x14ac:dyDescent="0.25">
      <c r="A5" s="33">
        <v>4</v>
      </c>
      <c r="B5" s="34">
        <f>IF(C5="","",EDATE('Loan Details'!$C$7,4))</f>
      </c>
      <c r="C5" s="35">
        <f>IF(OR(4&gt;N('Loan Details'!$C$6),NOT(ISNUMBER('Loan Details'!$C$10)),G4=""),"",G4)</f>
      </c>
      <c r="D5" s="35">
        <f>IF(C5="","",MIN('Loan Details'!$C$10,C5+E5))</f>
      </c>
      <c r="E5" s="35">
        <f>IF(C5="","",C5*'Loan Details'!$C$5/12)</f>
      </c>
      <c r="F5" s="35">
        <f>IF(C5="","",D5-E5)</f>
      </c>
      <c r="G5" s="35">
        <f>IF(C5="","",C5-F5)</f>
      </c>
      <c r="H5" s="36">
        <f>IF(C5="","",IF(4&lt;=N('Loan Details'!$C$13),"Paid",IF(B5&lt;TODAY(),"OVERDUE",IF(B5&lt;=TODAY()+7,"DUE SOON","Upcoming"))))</f>
      </c>
    </row>
    <row r="6" spans="1:8" x14ac:dyDescent="0.25">
      <c r="A6" s="25">
        <v>5</v>
      </c>
      <c r="B6" s="30">
        <f>IF(C6="","",EDATE('Loan Details'!$C$7,5))</f>
      </c>
      <c r="C6" s="31">
        <f>IF(OR(5&gt;N('Loan Details'!$C$6),NOT(ISNUMBER('Loan Details'!$C$10)),G5=""),"",G5)</f>
      </c>
      <c r="D6" s="31">
        <f>IF(C6="","",MIN('Loan Details'!$C$10,C6+E6))</f>
      </c>
      <c r="E6" s="31">
        <f>IF(C6="","",C6*'Loan Details'!$C$5/12)</f>
      </c>
      <c r="F6" s="31">
        <f>IF(C6="","",D6-E6)</f>
      </c>
      <c r="G6" s="31">
        <f>IF(C6="","",C6-F6)</f>
      </c>
      <c r="H6" s="32">
        <f>IF(C6="","",IF(5&lt;=N('Loan Details'!$C$13),"Paid",IF(B6&lt;TODAY(),"OVERDUE",IF(B6&lt;=TODAY()+7,"DUE SOON","Upcoming"))))</f>
      </c>
    </row>
    <row r="7" spans="1:8" x14ac:dyDescent="0.25">
      <c r="A7" s="33">
        <v>6</v>
      </c>
      <c r="B7" s="34">
        <f>IF(C7="","",EDATE('Loan Details'!$C$7,6))</f>
      </c>
      <c r="C7" s="35">
        <f>IF(OR(6&gt;N('Loan Details'!$C$6),NOT(ISNUMBER('Loan Details'!$C$10)),G6=""),"",G6)</f>
      </c>
      <c r="D7" s="35">
        <f>IF(C7="","",MIN('Loan Details'!$C$10,C7+E7))</f>
      </c>
      <c r="E7" s="35">
        <f>IF(C7="","",C7*'Loan Details'!$C$5/12)</f>
      </c>
      <c r="F7" s="35">
        <f>IF(C7="","",D7-E7)</f>
      </c>
      <c r="G7" s="35">
        <f>IF(C7="","",C7-F7)</f>
      </c>
      <c r="H7" s="36">
        <f>IF(C7="","",IF(6&lt;=N('Loan Details'!$C$13),"Paid",IF(B7&lt;TODAY(),"OVERDUE",IF(B7&lt;=TODAY()+7,"DUE SOON","Upcoming"))))</f>
      </c>
    </row>
    <row r="8" spans="1:8" x14ac:dyDescent="0.25">
      <c r="A8" s="25">
        <v>7</v>
      </c>
      <c r="B8" s="30">
        <f>IF(C8="","",EDATE('Loan Details'!$C$7,7))</f>
      </c>
      <c r="C8" s="31">
        <f>IF(OR(7&gt;N('Loan Details'!$C$6),NOT(ISNUMBER('Loan Details'!$C$10)),G7=""),"",G7)</f>
      </c>
      <c r="D8" s="31">
        <f>IF(C8="","",MIN('Loan Details'!$C$10,C8+E8))</f>
      </c>
      <c r="E8" s="31">
        <f>IF(C8="","",C8*'Loan Details'!$C$5/12)</f>
      </c>
      <c r="F8" s="31">
        <f>IF(C8="","",D8-E8)</f>
      </c>
      <c r="G8" s="31">
        <f>IF(C8="","",C8-F8)</f>
      </c>
      <c r="H8" s="32">
        <f>IF(C8="","",IF(7&lt;=N('Loan Details'!$C$13),"Paid",IF(B8&lt;TODAY(),"OVERDUE",IF(B8&lt;=TODAY()+7,"DUE SOON","Upcoming"))))</f>
      </c>
    </row>
    <row r="9" spans="1:8" x14ac:dyDescent="0.25">
      <c r="A9" s="33">
        <v>8</v>
      </c>
      <c r="B9" s="34">
        <f>IF(C9="","",EDATE('Loan Details'!$C$7,8))</f>
      </c>
      <c r="C9" s="35">
        <f>IF(OR(8&gt;N('Loan Details'!$C$6),NOT(ISNUMBER('Loan Details'!$C$10)),G8=""),"",G8)</f>
      </c>
      <c r="D9" s="35">
        <f>IF(C9="","",MIN('Loan Details'!$C$10,C9+E9))</f>
      </c>
      <c r="E9" s="35">
        <f>IF(C9="","",C9*'Loan Details'!$C$5/12)</f>
      </c>
      <c r="F9" s="35">
        <f>IF(C9="","",D9-E9)</f>
      </c>
      <c r="G9" s="35">
        <f>IF(C9="","",C9-F9)</f>
      </c>
      <c r="H9" s="36">
        <f>IF(C9="","",IF(8&lt;=N('Loan Details'!$C$13),"Paid",IF(B9&lt;TODAY(),"OVERDUE",IF(B9&lt;=TODAY()+7,"DUE SOON","Upcoming"))))</f>
      </c>
    </row>
    <row r="10" spans="1:8" x14ac:dyDescent="0.25">
      <c r="A10" s="25">
        <v>9</v>
      </c>
      <c r="B10" s="30">
        <f>IF(C10="","",EDATE('Loan Details'!$C$7,9))</f>
      </c>
      <c r="C10" s="31">
        <f>IF(OR(9&gt;N('Loan Details'!$C$6),NOT(ISNUMBER('Loan Details'!$C$10)),G9=""),"",G9)</f>
      </c>
      <c r="D10" s="31">
        <f>IF(C10="","",MIN('Loan Details'!$C$10,C10+E10))</f>
      </c>
      <c r="E10" s="31">
        <f>IF(C10="","",C10*'Loan Details'!$C$5/12)</f>
      </c>
      <c r="F10" s="31">
        <f>IF(C10="","",D10-E10)</f>
      </c>
      <c r="G10" s="31">
        <f>IF(C10="","",C10-F10)</f>
      </c>
      <c r="H10" s="32">
        <f>IF(C10="","",IF(9&lt;=N('Loan Details'!$C$13),"Paid",IF(B10&lt;TODAY(),"OVERDUE",IF(B10&lt;=TODAY()+7,"DUE SOON","Upcoming"))))</f>
      </c>
    </row>
    <row r="11" spans="1:8" x14ac:dyDescent="0.25">
      <c r="A11" s="33">
        <v>10</v>
      </c>
      <c r="B11" s="34">
        <f>IF(C11="","",EDATE('Loan Details'!$C$7,10))</f>
      </c>
      <c r="C11" s="35">
        <f>IF(OR(10&gt;N('Loan Details'!$C$6),NOT(ISNUMBER('Loan Details'!$C$10)),G10=""),"",G10)</f>
      </c>
      <c r="D11" s="35">
        <f>IF(C11="","",MIN('Loan Details'!$C$10,C11+E11))</f>
      </c>
      <c r="E11" s="35">
        <f>IF(C11="","",C11*'Loan Details'!$C$5/12)</f>
      </c>
      <c r="F11" s="35">
        <f>IF(C11="","",D11-E11)</f>
      </c>
      <c r="G11" s="35">
        <f>IF(C11="","",C11-F11)</f>
      </c>
      <c r="H11" s="36">
        <f>IF(C11="","",IF(10&lt;=N('Loan Details'!$C$13),"Paid",IF(B11&lt;TODAY(),"OVERDUE",IF(B11&lt;=TODAY()+7,"DUE SOON","Upcoming"))))</f>
      </c>
    </row>
    <row r="12" spans="1:8" x14ac:dyDescent="0.25">
      <c r="A12" s="25">
        <v>11</v>
      </c>
      <c r="B12" s="30">
        <f>IF(C12="","",EDATE('Loan Details'!$C$7,11))</f>
      </c>
      <c r="C12" s="31">
        <f>IF(OR(11&gt;N('Loan Details'!$C$6),NOT(ISNUMBER('Loan Details'!$C$10)),G11=""),"",G11)</f>
      </c>
      <c r="D12" s="31">
        <f>IF(C12="","",MIN('Loan Details'!$C$10,C12+E12))</f>
      </c>
      <c r="E12" s="31">
        <f>IF(C12="","",C12*'Loan Details'!$C$5/12)</f>
      </c>
      <c r="F12" s="31">
        <f>IF(C12="","",D12-E12)</f>
      </c>
      <c r="G12" s="31">
        <f>IF(C12="","",C12-F12)</f>
      </c>
      <c r="H12" s="32">
        <f>IF(C12="","",IF(11&lt;=N('Loan Details'!$C$13),"Paid",IF(B12&lt;TODAY(),"OVERDUE",IF(B12&lt;=TODAY()+7,"DUE SOON","Upcoming"))))</f>
      </c>
    </row>
    <row r="13" spans="1:8" x14ac:dyDescent="0.25">
      <c r="A13" s="33">
        <v>12</v>
      </c>
      <c r="B13" s="34">
        <f>IF(C13="","",EDATE('Loan Details'!$C$7,12))</f>
      </c>
      <c r="C13" s="35">
        <f>IF(OR(12&gt;N('Loan Details'!$C$6),NOT(ISNUMBER('Loan Details'!$C$10)),G12=""),"",G12)</f>
      </c>
      <c r="D13" s="35">
        <f>IF(C13="","",MIN('Loan Details'!$C$10,C13+E13))</f>
      </c>
      <c r="E13" s="35">
        <f>IF(C13="","",C13*'Loan Details'!$C$5/12)</f>
      </c>
      <c r="F13" s="35">
        <f>IF(C13="","",D13-E13)</f>
      </c>
      <c r="G13" s="35">
        <f>IF(C13="","",C13-F13)</f>
      </c>
      <c r="H13" s="36">
        <f>IF(C13="","",IF(12&lt;=N('Loan Details'!$C$13),"Paid",IF(B13&lt;TODAY(),"OVERDUE",IF(B13&lt;=TODAY()+7,"DUE SOON","Upcoming"))))</f>
      </c>
    </row>
    <row r="14" spans="1:8" x14ac:dyDescent="0.25">
      <c r="A14" s="25">
        <v>13</v>
      </c>
      <c r="B14" s="30">
        <f>IF(C14="","",EDATE('Loan Details'!$C$7,13))</f>
      </c>
      <c r="C14" s="31">
        <f>IF(OR(13&gt;N('Loan Details'!$C$6),NOT(ISNUMBER('Loan Details'!$C$10)),G13=""),"",G13)</f>
      </c>
      <c r="D14" s="31">
        <f>IF(C14="","",MIN('Loan Details'!$C$10,C14+E14))</f>
      </c>
      <c r="E14" s="31">
        <f>IF(C14="","",C14*'Loan Details'!$C$5/12)</f>
      </c>
      <c r="F14" s="31">
        <f>IF(C14="","",D14-E14)</f>
      </c>
      <c r="G14" s="31">
        <f>IF(C14="","",C14-F14)</f>
      </c>
      <c r="H14" s="32">
        <f>IF(C14="","",IF(13&lt;=N('Loan Details'!$C$13),"Paid",IF(B14&lt;TODAY(),"OVERDUE",IF(B14&lt;=TODAY()+7,"DUE SOON","Upcoming"))))</f>
      </c>
    </row>
    <row r="15" spans="1:8" x14ac:dyDescent="0.25">
      <c r="A15" s="33">
        <v>14</v>
      </c>
      <c r="B15" s="34">
        <f>IF(C15="","",EDATE('Loan Details'!$C$7,14))</f>
      </c>
      <c r="C15" s="35">
        <f>IF(OR(14&gt;N('Loan Details'!$C$6),NOT(ISNUMBER('Loan Details'!$C$10)),G14=""),"",G14)</f>
      </c>
      <c r="D15" s="35">
        <f>IF(C15="","",MIN('Loan Details'!$C$10,C15+E15))</f>
      </c>
      <c r="E15" s="35">
        <f>IF(C15="","",C15*'Loan Details'!$C$5/12)</f>
      </c>
      <c r="F15" s="35">
        <f>IF(C15="","",D15-E15)</f>
      </c>
      <c r="G15" s="35">
        <f>IF(C15="","",C15-F15)</f>
      </c>
      <c r="H15" s="36">
        <f>IF(C15="","",IF(14&lt;=N('Loan Details'!$C$13),"Paid",IF(B15&lt;TODAY(),"OVERDUE",IF(B15&lt;=TODAY()+7,"DUE SOON","Upcoming"))))</f>
      </c>
    </row>
    <row r="16" spans="1:8" x14ac:dyDescent="0.25">
      <c r="A16" s="25">
        <v>15</v>
      </c>
      <c r="B16" s="30">
        <f>IF(C16="","",EDATE('Loan Details'!$C$7,15))</f>
      </c>
      <c r="C16" s="31">
        <f>IF(OR(15&gt;N('Loan Details'!$C$6),NOT(ISNUMBER('Loan Details'!$C$10)),G15=""),"",G15)</f>
      </c>
      <c r="D16" s="31">
        <f>IF(C16="","",MIN('Loan Details'!$C$10,C16+E16))</f>
      </c>
      <c r="E16" s="31">
        <f>IF(C16="","",C16*'Loan Details'!$C$5/12)</f>
      </c>
      <c r="F16" s="31">
        <f>IF(C16="","",D16-E16)</f>
      </c>
      <c r="G16" s="31">
        <f>IF(C16="","",C16-F16)</f>
      </c>
      <c r="H16" s="32">
        <f>IF(C16="","",IF(15&lt;=N('Loan Details'!$C$13),"Paid",IF(B16&lt;TODAY(),"OVERDUE",IF(B16&lt;=TODAY()+7,"DUE SOON","Upcoming"))))</f>
      </c>
    </row>
    <row r="17" spans="1:8" x14ac:dyDescent="0.25">
      <c r="A17" s="33">
        <v>16</v>
      </c>
      <c r="B17" s="34">
        <f>IF(C17="","",EDATE('Loan Details'!$C$7,16))</f>
      </c>
      <c r="C17" s="35">
        <f>IF(OR(16&gt;N('Loan Details'!$C$6),NOT(ISNUMBER('Loan Details'!$C$10)),G16=""),"",G16)</f>
      </c>
      <c r="D17" s="35">
        <f>IF(C17="","",MIN('Loan Details'!$C$10,C17+E17))</f>
      </c>
      <c r="E17" s="35">
        <f>IF(C17="","",C17*'Loan Details'!$C$5/12)</f>
      </c>
      <c r="F17" s="35">
        <f>IF(C17="","",D17-E17)</f>
      </c>
      <c r="G17" s="35">
        <f>IF(C17="","",C17-F17)</f>
      </c>
      <c r="H17" s="36">
        <f>IF(C17="","",IF(16&lt;=N('Loan Details'!$C$13),"Paid",IF(B17&lt;TODAY(),"OVERDUE",IF(B17&lt;=TODAY()+7,"DUE SOON","Upcoming"))))</f>
      </c>
    </row>
    <row r="18" spans="1:8" x14ac:dyDescent="0.25">
      <c r="A18" s="25">
        <v>17</v>
      </c>
      <c r="B18" s="30">
        <f>IF(C18="","",EDATE('Loan Details'!$C$7,17))</f>
      </c>
      <c r="C18" s="31">
        <f>IF(OR(17&gt;N('Loan Details'!$C$6),NOT(ISNUMBER('Loan Details'!$C$10)),G17=""),"",G17)</f>
      </c>
      <c r="D18" s="31">
        <f>IF(C18="","",MIN('Loan Details'!$C$10,C18+E18))</f>
      </c>
      <c r="E18" s="31">
        <f>IF(C18="","",C18*'Loan Details'!$C$5/12)</f>
      </c>
      <c r="F18" s="31">
        <f>IF(C18="","",D18-E18)</f>
      </c>
      <c r="G18" s="31">
        <f>IF(C18="","",C18-F18)</f>
      </c>
      <c r="H18" s="32">
        <f>IF(C18="","",IF(17&lt;=N('Loan Details'!$C$13),"Paid",IF(B18&lt;TODAY(),"OVERDUE",IF(B18&lt;=TODAY()+7,"DUE SOON","Upcoming"))))</f>
      </c>
    </row>
    <row r="19" spans="1:8" x14ac:dyDescent="0.25">
      <c r="A19" s="33">
        <v>18</v>
      </c>
      <c r="B19" s="34">
        <f>IF(C19="","",EDATE('Loan Details'!$C$7,18))</f>
      </c>
      <c r="C19" s="35">
        <f>IF(OR(18&gt;N('Loan Details'!$C$6),NOT(ISNUMBER('Loan Details'!$C$10)),G18=""),"",G18)</f>
      </c>
      <c r="D19" s="35">
        <f>IF(C19="","",MIN('Loan Details'!$C$10,C19+E19))</f>
      </c>
      <c r="E19" s="35">
        <f>IF(C19="","",C19*'Loan Details'!$C$5/12)</f>
      </c>
      <c r="F19" s="35">
        <f>IF(C19="","",D19-E19)</f>
      </c>
      <c r="G19" s="35">
        <f>IF(C19="","",C19-F19)</f>
      </c>
      <c r="H19" s="36">
        <f>IF(C19="","",IF(18&lt;=N('Loan Details'!$C$13),"Paid",IF(B19&lt;TODAY(),"OVERDUE",IF(B19&lt;=TODAY()+7,"DUE SOON","Upcoming"))))</f>
      </c>
    </row>
    <row r="20" spans="1:8" x14ac:dyDescent="0.25">
      <c r="A20" s="25">
        <v>19</v>
      </c>
      <c r="B20" s="30">
        <f>IF(C20="","",EDATE('Loan Details'!$C$7,19))</f>
      </c>
      <c r="C20" s="31">
        <f>IF(OR(19&gt;N('Loan Details'!$C$6),NOT(ISNUMBER('Loan Details'!$C$10)),G19=""),"",G19)</f>
      </c>
      <c r="D20" s="31">
        <f>IF(C20="","",MIN('Loan Details'!$C$10,C20+E20))</f>
      </c>
      <c r="E20" s="31">
        <f>IF(C20="","",C20*'Loan Details'!$C$5/12)</f>
      </c>
      <c r="F20" s="31">
        <f>IF(C20="","",D20-E20)</f>
      </c>
      <c r="G20" s="31">
        <f>IF(C20="","",C20-F20)</f>
      </c>
      <c r="H20" s="32">
        <f>IF(C20="","",IF(19&lt;=N('Loan Details'!$C$13),"Paid",IF(B20&lt;TODAY(),"OVERDUE",IF(B20&lt;=TODAY()+7,"DUE SOON","Upcoming"))))</f>
      </c>
    </row>
    <row r="21" spans="1:8" x14ac:dyDescent="0.25">
      <c r="A21" s="33">
        <v>20</v>
      </c>
      <c r="B21" s="34">
        <f>IF(C21="","",EDATE('Loan Details'!$C$7,20))</f>
      </c>
      <c r="C21" s="35">
        <f>IF(OR(20&gt;N('Loan Details'!$C$6),NOT(ISNUMBER('Loan Details'!$C$10)),G20=""),"",G20)</f>
      </c>
      <c r="D21" s="35">
        <f>IF(C21="","",MIN('Loan Details'!$C$10,C21+E21))</f>
      </c>
      <c r="E21" s="35">
        <f>IF(C21="","",C21*'Loan Details'!$C$5/12)</f>
      </c>
      <c r="F21" s="35">
        <f>IF(C21="","",D21-E21)</f>
      </c>
      <c r="G21" s="35">
        <f>IF(C21="","",C21-F21)</f>
      </c>
      <c r="H21" s="36">
        <f>IF(C21="","",IF(20&lt;=N('Loan Details'!$C$13),"Paid",IF(B21&lt;TODAY(),"OVERDUE",IF(B21&lt;=TODAY()+7,"DUE SOON","Upcoming"))))</f>
      </c>
    </row>
    <row r="22" spans="1:8" x14ac:dyDescent="0.25">
      <c r="A22" s="25">
        <v>21</v>
      </c>
      <c r="B22" s="30">
        <f>IF(C22="","",EDATE('Loan Details'!$C$7,21))</f>
      </c>
      <c r="C22" s="31">
        <f>IF(OR(21&gt;N('Loan Details'!$C$6),NOT(ISNUMBER('Loan Details'!$C$10)),G21=""),"",G21)</f>
      </c>
      <c r="D22" s="31">
        <f>IF(C22="","",MIN('Loan Details'!$C$10,C22+E22))</f>
      </c>
      <c r="E22" s="31">
        <f>IF(C22="","",C22*'Loan Details'!$C$5/12)</f>
      </c>
      <c r="F22" s="31">
        <f>IF(C22="","",D22-E22)</f>
      </c>
      <c r="G22" s="31">
        <f>IF(C22="","",C22-F22)</f>
      </c>
      <c r="H22" s="32">
        <f>IF(C22="","",IF(21&lt;=N('Loan Details'!$C$13),"Paid",IF(B22&lt;TODAY(),"OVERDUE",IF(B22&lt;=TODAY()+7,"DUE SOON","Upcoming"))))</f>
      </c>
    </row>
    <row r="23" spans="1:8" x14ac:dyDescent="0.25">
      <c r="A23" s="33">
        <v>22</v>
      </c>
      <c r="B23" s="34">
        <f>IF(C23="","",EDATE('Loan Details'!$C$7,22))</f>
      </c>
      <c r="C23" s="35">
        <f>IF(OR(22&gt;N('Loan Details'!$C$6),NOT(ISNUMBER('Loan Details'!$C$10)),G22=""),"",G22)</f>
      </c>
      <c r="D23" s="35">
        <f>IF(C23="","",MIN('Loan Details'!$C$10,C23+E23))</f>
      </c>
      <c r="E23" s="35">
        <f>IF(C23="","",C23*'Loan Details'!$C$5/12)</f>
      </c>
      <c r="F23" s="35">
        <f>IF(C23="","",D23-E23)</f>
      </c>
      <c r="G23" s="35">
        <f>IF(C23="","",C23-F23)</f>
      </c>
      <c r="H23" s="36">
        <f>IF(C23="","",IF(22&lt;=N('Loan Details'!$C$13),"Paid",IF(B23&lt;TODAY(),"OVERDUE",IF(B23&lt;=TODAY()+7,"DUE SOON","Upcoming"))))</f>
      </c>
    </row>
    <row r="24" spans="1:8" x14ac:dyDescent="0.25">
      <c r="A24" s="25">
        <v>23</v>
      </c>
      <c r="B24" s="30">
        <f>IF(C24="","",EDATE('Loan Details'!$C$7,23))</f>
      </c>
      <c r="C24" s="31">
        <f>IF(OR(23&gt;N('Loan Details'!$C$6),NOT(ISNUMBER('Loan Details'!$C$10)),G23=""),"",G23)</f>
      </c>
      <c r="D24" s="31">
        <f>IF(C24="","",MIN('Loan Details'!$C$10,C24+E24))</f>
      </c>
      <c r="E24" s="31">
        <f>IF(C24="","",C24*'Loan Details'!$C$5/12)</f>
      </c>
      <c r="F24" s="31">
        <f>IF(C24="","",D24-E24)</f>
      </c>
      <c r="G24" s="31">
        <f>IF(C24="","",C24-F24)</f>
      </c>
      <c r="H24" s="32">
        <f>IF(C24="","",IF(23&lt;=N('Loan Details'!$C$13),"Paid",IF(B24&lt;TODAY(),"OVERDUE",IF(B24&lt;=TODAY()+7,"DUE SOON","Upcoming"))))</f>
      </c>
    </row>
    <row r="25" spans="1:8" x14ac:dyDescent="0.25">
      <c r="A25" s="33">
        <v>24</v>
      </c>
      <c r="B25" s="34">
        <f>IF(C25="","",EDATE('Loan Details'!$C$7,24))</f>
      </c>
      <c r="C25" s="35">
        <f>IF(OR(24&gt;N('Loan Details'!$C$6),NOT(ISNUMBER('Loan Details'!$C$10)),G24=""),"",G24)</f>
      </c>
      <c r="D25" s="35">
        <f>IF(C25="","",MIN('Loan Details'!$C$10,C25+E25))</f>
      </c>
      <c r="E25" s="35">
        <f>IF(C25="","",C25*'Loan Details'!$C$5/12)</f>
      </c>
      <c r="F25" s="35">
        <f>IF(C25="","",D25-E25)</f>
      </c>
      <c r="G25" s="35">
        <f>IF(C25="","",C25-F25)</f>
      </c>
      <c r="H25" s="36">
        <f>IF(C25="","",IF(24&lt;=N('Loan Details'!$C$13),"Paid",IF(B25&lt;TODAY(),"OVERDUE",IF(B25&lt;=TODAY()+7,"DUE SOON","Upcoming"))))</f>
      </c>
    </row>
    <row r="26" spans="1:8" x14ac:dyDescent="0.25">
      <c r="A26" s="25">
        <v>25</v>
      </c>
      <c r="B26" s="30">
        <f>IF(C26="","",EDATE('Loan Details'!$C$7,25))</f>
      </c>
      <c r="C26" s="31">
        <f>IF(OR(25&gt;N('Loan Details'!$C$6),NOT(ISNUMBER('Loan Details'!$C$10)),G25=""),"",G25)</f>
      </c>
      <c r="D26" s="31">
        <f>IF(C26="","",MIN('Loan Details'!$C$10,C26+E26))</f>
      </c>
      <c r="E26" s="31">
        <f>IF(C26="","",C26*'Loan Details'!$C$5/12)</f>
      </c>
      <c r="F26" s="31">
        <f>IF(C26="","",D26-E26)</f>
      </c>
      <c r="G26" s="31">
        <f>IF(C26="","",C26-F26)</f>
      </c>
      <c r="H26" s="32">
        <f>IF(C26="","",IF(25&lt;=N('Loan Details'!$C$13),"Paid",IF(B26&lt;TODAY(),"OVERDUE",IF(B26&lt;=TODAY()+7,"DUE SOON","Upcoming"))))</f>
      </c>
    </row>
    <row r="27" spans="1:8" x14ac:dyDescent="0.25">
      <c r="A27" s="33">
        <v>26</v>
      </c>
      <c r="B27" s="34">
        <f>IF(C27="","",EDATE('Loan Details'!$C$7,26))</f>
      </c>
      <c r="C27" s="35">
        <f>IF(OR(26&gt;N('Loan Details'!$C$6),NOT(ISNUMBER('Loan Details'!$C$10)),G26=""),"",G26)</f>
      </c>
      <c r="D27" s="35">
        <f>IF(C27="","",MIN('Loan Details'!$C$10,C27+E27))</f>
      </c>
      <c r="E27" s="35">
        <f>IF(C27="","",C27*'Loan Details'!$C$5/12)</f>
      </c>
      <c r="F27" s="35">
        <f>IF(C27="","",D27-E27)</f>
      </c>
      <c r="G27" s="35">
        <f>IF(C27="","",C27-F27)</f>
      </c>
      <c r="H27" s="36">
        <f>IF(C27="","",IF(26&lt;=N('Loan Details'!$C$13),"Paid",IF(B27&lt;TODAY(),"OVERDUE",IF(B27&lt;=TODAY()+7,"DUE SOON","Upcoming"))))</f>
      </c>
    </row>
    <row r="28" spans="1:8" x14ac:dyDescent="0.25">
      <c r="A28" s="25">
        <v>27</v>
      </c>
      <c r="B28" s="30">
        <f>IF(C28="","",EDATE('Loan Details'!$C$7,27))</f>
      </c>
      <c r="C28" s="31">
        <f>IF(OR(27&gt;N('Loan Details'!$C$6),NOT(ISNUMBER('Loan Details'!$C$10)),G27=""),"",G27)</f>
      </c>
      <c r="D28" s="31">
        <f>IF(C28="","",MIN('Loan Details'!$C$10,C28+E28))</f>
      </c>
      <c r="E28" s="31">
        <f>IF(C28="","",C28*'Loan Details'!$C$5/12)</f>
      </c>
      <c r="F28" s="31">
        <f>IF(C28="","",D28-E28)</f>
      </c>
      <c r="G28" s="31">
        <f>IF(C28="","",C28-F28)</f>
      </c>
      <c r="H28" s="32">
        <f>IF(C28="","",IF(27&lt;=N('Loan Details'!$C$13),"Paid",IF(B28&lt;TODAY(),"OVERDUE",IF(B28&lt;=TODAY()+7,"DUE SOON","Upcoming"))))</f>
      </c>
    </row>
    <row r="29" spans="1:8" x14ac:dyDescent="0.25">
      <c r="A29" s="33">
        <v>28</v>
      </c>
      <c r="B29" s="34">
        <f>IF(C29="","",EDATE('Loan Details'!$C$7,28))</f>
      </c>
      <c r="C29" s="35">
        <f>IF(OR(28&gt;N('Loan Details'!$C$6),NOT(ISNUMBER('Loan Details'!$C$10)),G28=""),"",G28)</f>
      </c>
      <c r="D29" s="35">
        <f>IF(C29="","",MIN('Loan Details'!$C$10,C29+E29))</f>
      </c>
      <c r="E29" s="35">
        <f>IF(C29="","",C29*'Loan Details'!$C$5/12)</f>
      </c>
      <c r="F29" s="35">
        <f>IF(C29="","",D29-E29)</f>
      </c>
      <c r="G29" s="35">
        <f>IF(C29="","",C29-F29)</f>
      </c>
      <c r="H29" s="36">
        <f>IF(C29="","",IF(28&lt;=N('Loan Details'!$C$13),"Paid",IF(B29&lt;TODAY(),"OVERDUE",IF(B29&lt;=TODAY()+7,"DUE SOON","Upcoming"))))</f>
      </c>
    </row>
    <row r="30" spans="1:8" x14ac:dyDescent="0.25">
      <c r="A30" s="25">
        <v>29</v>
      </c>
      <c r="B30" s="30">
        <f>IF(C30="","",EDATE('Loan Details'!$C$7,29))</f>
      </c>
      <c r="C30" s="31">
        <f>IF(OR(29&gt;N('Loan Details'!$C$6),NOT(ISNUMBER('Loan Details'!$C$10)),G29=""),"",G29)</f>
      </c>
      <c r="D30" s="31">
        <f>IF(C30="","",MIN('Loan Details'!$C$10,C30+E30))</f>
      </c>
      <c r="E30" s="31">
        <f>IF(C30="","",C30*'Loan Details'!$C$5/12)</f>
      </c>
      <c r="F30" s="31">
        <f>IF(C30="","",D30-E30)</f>
      </c>
      <c r="G30" s="31">
        <f>IF(C30="","",C30-F30)</f>
      </c>
      <c r="H30" s="32">
        <f>IF(C30="","",IF(29&lt;=N('Loan Details'!$C$13),"Paid",IF(B30&lt;TODAY(),"OVERDUE",IF(B30&lt;=TODAY()+7,"DUE SOON","Upcoming"))))</f>
      </c>
    </row>
    <row r="31" spans="1:8" x14ac:dyDescent="0.25">
      <c r="A31" s="33">
        <v>30</v>
      </c>
      <c r="B31" s="34">
        <f>IF(C31="","",EDATE('Loan Details'!$C$7,30))</f>
      </c>
      <c r="C31" s="35">
        <f>IF(OR(30&gt;N('Loan Details'!$C$6),NOT(ISNUMBER('Loan Details'!$C$10)),G30=""),"",G30)</f>
      </c>
      <c r="D31" s="35">
        <f>IF(C31="","",MIN('Loan Details'!$C$10,C31+E31))</f>
      </c>
      <c r="E31" s="35">
        <f>IF(C31="","",C31*'Loan Details'!$C$5/12)</f>
      </c>
      <c r="F31" s="35">
        <f>IF(C31="","",D31-E31)</f>
      </c>
      <c r="G31" s="35">
        <f>IF(C31="","",C31-F31)</f>
      </c>
      <c r="H31" s="36">
        <f>IF(C31="","",IF(30&lt;=N('Loan Details'!$C$13),"Paid",IF(B31&lt;TODAY(),"OVERDUE",IF(B31&lt;=TODAY()+7,"DUE SOON","Upcoming"))))</f>
      </c>
    </row>
    <row r="32" spans="1:8" x14ac:dyDescent="0.25">
      <c r="A32" s="25">
        <v>31</v>
      </c>
      <c r="B32" s="30">
        <f>IF(C32="","",EDATE('Loan Details'!$C$7,31))</f>
      </c>
      <c r="C32" s="31">
        <f>IF(OR(31&gt;N('Loan Details'!$C$6),NOT(ISNUMBER('Loan Details'!$C$10)),G31=""),"",G31)</f>
      </c>
      <c r="D32" s="31">
        <f>IF(C32="","",MIN('Loan Details'!$C$10,C32+E32))</f>
      </c>
      <c r="E32" s="31">
        <f>IF(C32="","",C32*'Loan Details'!$C$5/12)</f>
      </c>
      <c r="F32" s="31">
        <f>IF(C32="","",D32-E32)</f>
      </c>
      <c r="G32" s="31">
        <f>IF(C32="","",C32-F32)</f>
      </c>
      <c r="H32" s="32">
        <f>IF(C32="","",IF(31&lt;=N('Loan Details'!$C$13),"Paid",IF(B32&lt;TODAY(),"OVERDUE",IF(B32&lt;=TODAY()+7,"DUE SOON","Upcoming"))))</f>
      </c>
    </row>
    <row r="33" spans="1:8" x14ac:dyDescent="0.25">
      <c r="A33" s="33">
        <v>32</v>
      </c>
      <c r="B33" s="34">
        <f>IF(C33="","",EDATE('Loan Details'!$C$7,32))</f>
      </c>
      <c r="C33" s="35">
        <f>IF(OR(32&gt;N('Loan Details'!$C$6),NOT(ISNUMBER('Loan Details'!$C$10)),G32=""),"",G32)</f>
      </c>
      <c r="D33" s="35">
        <f>IF(C33="","",MIN('Loan Details'!$C$10,C33+E33))</f>
      </c>
      <c r="E33" s="35">
        <f>IF(C33="","",C33*'Loan Details'!$C$5/12)</f>
      </c>
      <c r="F33" s="35">
        <f>IF(C33="","",D33-E33)</f>
      </c>
      <c r="G33" s="35">
        <f>IF(C33="","",C33-F33)</f>
      </c>
      <c r="H33" s="36">
        <f>IF(C33="","",IF(32&lt;=N('Loan Details'!$C$13),"Paid",IF(B33&lt;TODAY(),"OVERDUE",IF(B33&lt;=TODAY()+7,"DUE SOON","Upcoming"))))</f>
      </c>
    </row>
    <row r="34" spans="1:8" x14ac:dyDescent="0.25">
      <c r="A34" s="25">
        <v>33</v>
      </c>
      <c r="B34" s="30">
        <f>IF(C34="","",EDATE('Loan Details'!$C$7,33))</f>
      </c>
      <c r="C34" s="31">
        <f>IF(OR(33&gt;N('Loan Details'!$C$6),NOT(ISNUMBER('Loan Details'!$C$10)),G33=""),"",G33)</f>
      </c>
      <c r="D34" s="31">
        <f>IF(C34="","",MIN('Loan Details'!$C$10,C34+E34))</f>
      </c>
      <c r="E34" s="31">
        <f>IF(C34="","",C34*'Loan Details'!$C$5/12)</f>
      </c>
      <c r="F34" s="31">
        <f>IF(C34="","",D34-E34)</f>
      </c>
      <c r="G34" s="31">
        <f>IF(C34="","",C34-F34)</f>
      </c>
      <c r="H34" s="32">
        <f>IF(C34="","",IF(33&lt;=N('Loan Details'!$C$13),"Paid",IF(B34&lt;TODAY(),"OVERDUE",IF(B34&lt;=TODAY()+7,"DUE SOON","Upcoming"))))</f>
      </c>
    </row>
    <row r="35" spans="1:8" x14ac:dyDescent="0.25">
      <c r="A35" s="33">
        <v>34</v>
      </c>
      <c r="B35" s="34">
        <f>IF(C35="","",EDATE('Loan Details'!$C$7,34))</f>
      </c>
      <c r="C35" s="35">
        <f>IF(OR(34&gt;N('Loan Details'!$C$6),NOT(ISNUMBER('Loan Details'!$C$10)),G34=""),"",G34)</f>
      </c>
      <c r="D35" s="35">
        <f>IF(C35="","",MIN('Loan Details'!$C$10,C35+E35))</f>
      </c>
      <c r="E35" s="35">
        <f>IF(C35="","",C35*'Loan Details'!$C$5/12)</f>
      </c>
      <c r="F35" s="35">
        <f>IF(C35="","",D35-E35)</f>
      </c>
      <c r="G35" s="35">
        <f>IF(C35="","",C35-F35)</f>
      </c>
      <c r="H35" s="36">
        <f>IF(C35="","",IF(34&lt;=N('Loan Details'!$C$13),"Paid",IF(B35&lt;TODAY(),"OVERDUE",IF(B35&lt;=TODAY()+7,"DUE SOON","Upcoming"))))</f>
      </c>
    </row>
    <row r="36" spans="1:8" x14ac:dyDescent="0.25">
      <c r="A36" s="25">
        <v>35</v>
      </c>
      <c r="B36" s="30">
        <f>IF(C36="","",EDATE('Loan Details'!$C$7,35))</f>
      </c>
      <c r="C36" s="31">
        <f>IF(OR(35&gt;N('Loan Details'!$C$6),NOT(ISNUMBER('Loan Details'!$C$10)),G35=""),"",G35)</f>
      </c>
      <c r="D36" s="31">
        <f>IF(C36="","",MIN('Loan Details'!$C$10,C36+E36))</f>
      </c>
      <c r="E36" s="31">
        <f>IF(C36="","",C36*'Loan Details'!$C$5/12)</f>
      </c>
      <c r="F36" s="31">
        <f>IF(C36="","",D36-E36)</f>
      </c>
      <c r="G36" s="31">
        <f>IF(C36="","",C36-F36)</f>
      </c>
      <c r="H36" s="32">
        <f>IF(C36="","",IF(35&lt;=N('Loan Details'!$C$13),"Paid",IF(B36&lt;TODAY(),"OVERDUE",IF(B36&lt;=TODAY()+7,"DUE SOON","Upcoming"))))</f>
      </c>
    </row>
    <row r="37" spans="1:8" x14ac:dyDescent="0.25">
      <c r="A37" s="33">
        <v>36</v>
      </c>
      <c r="B37" s="34">
        <f>IF(C37="","",EDATE('Loan Details'!$C$7,36))</f>
      </c>
      <c r="C37" s="35">
        <f>IF(OR(36&gt;N('Loan Details'!$C$6),NOT(ISNUMBER('Loan Details'!$C$10)),G36=""),"",G36)</f>
      </c>
      <c r="D37" s="35">
        <f>IF(C37="","",MIN('Loan Details'!$C$10,C37+E37))</f>
      </c>
      <c r="E37" s="35">
        <f>IF(C37="","",C37*'Loan Details'!$C$5/12)</f>
      </c>
      <c r="F37" s="35">
        <f>IF(C37="","",D37-E37)</f>
      </c>
      <c r="G37" s="35">
        <f>IF(C37="","",C37-F37)</f>
      </c>
      <c r="H37" s="36">
        <f>IF(C37="","",IF(36&lt;=N('Loan Details'!$C$13),"Paid",IF(B37&lt;TODAY(),"OVERDUE",IF(B37&lt;=TODAY()+7,"DUE SOON","Upcoming"))))</f>
      </c>
    </row>
    <row r="38" spans="1:8" x14ac:dyDescent="0.25">
      <c r="A38" s="25">
        <v>37</v>
      </c>
      <c r="B38" s="30">
        <f>IF(C38="","",EDATE('Loan Details'!$C$7,37))</f>
      </c>
      <c r="C38" s="31">
        <f>IF(OR(37&gt;N('Loan Details'!$C$6),NOT(ISNUMBER('Loan Details'!$C$10)),G37=""),"",G37)</f>
      </c>
      <c r="D38" s="31">
        <f>IF(C38="","",MIN('Loan Details'!$C$10,C38+E38))</f>
      </c>
      <c r="E38" s="31">
        <f>IF(C38="","",C38*'Loan Details'!$C$5/12)</f>
      </c>
      <c r="F38" s="31">
        <f>IF(C38="","",D38-E38)</f>
      </c>
      <c r="G38" s="31">
        <f>IF(C38="","",C38-F38)</f>
      </c>
      <c r="H38" s="32">
        <f>IF(C38="","",IF(37&lt;=N('Loan Details'!$C$13),"Paid",IF(B38&lt;TODAY(),"OVERDUE",IF(B38&lt;=TODAY()+7,"DUE SOON","Upcoming"))))</f>
      </c>
    </row>
    <row r="39" spans="1:8" x14ac:dyDescent="0.25">
      <c r="A39" s="33">
        <v>38</v>
      </c>
      <c r="B39" s="34">
        <f>IF(C39="","",EDATE('Loan Details'!$C$7,38))</f>
      </c>
      <c r="C39" s="35">
        <f>IF(OR(38&gt;N('Loan Details'!$C$6),NOT(ISNUMBER('Loan Details'!$C$10)),G38=""),"",G38)</f>
      </c>
      <c r="D39" s="35">
        <f>IF(C39="","",MIN('Loan Details'!$C$10,C39+E39))</f>
      </c>
      <c r="E39" s="35">
        <f>IF(C39="","",C39*'Loan Details'!$C$5/12)</f>
      </c>
      <c r="F39" s="35">
        <f>IF(C39="","",D39-E39)</f>
      </c>
      <c r="G39" s="35">
        <f>IF(C39="","",C39-F39)</f>
      </c>
      <c r="H39" s="36">
        <f>IF(C39="","",IF(38&lt;=N('Loan Details'!$C$13),"Paid",IF(B39&lt;TODAY(),"OVERDUE",IF(B39&lt;=TODAY()+7,"DUE SOON","Upcoming"))))</f>
      </c>
    </row>
    <row r="40" spans="1:8" x14ac:dyDescent="0.25">
      <c r="A40" s="25">
        <v>39</v>
      </c>
      <c r="B40" s="30">
        <f>IF(C40="","",EDATE('Loan Details'!$C$7,39))</f>
      </c>
      <c r="C40" s="31">
        <f>IF(OR(39&gt;N('Loan Details'!$C$6),NOT(ISNUMBER('Loan Details'!$C$10)),G39=""),"",G39)</f>
      </c>
      <c r="D40" s="31">
        <f>IF(C40="","",MIN('Loan Details'!$C$10,C40+E40))</f>
      </c>
      <c r="E40" s="31">
        <f>IF(C40="","",C40*'Loan Details'!$C$5/12)</f>
      </c>
      <c r="F40" s="31">
        <f>IF(C40="","",D40-E40)</f>
      </c>
      <c r="G40" s="31">
        <f>IF(C40="","",C40-F40)</f>
      </c>
      <c r="H40" s="32">
        <f>IF(C40="","",IF(39&lt;=N('Loan Details'!$C$13),"Paid",IF(B40&lt;TODAY(),"OVERDUE",IF(B40&lt;=TODAY()+7,"DUE SOON","Upcoming"))))</f>
      </c>
    </row>
    <row r="41" spans="1:8" x14ac:dyDescent="0.25">
      <c r="A41" s="33">
        <v>40</v>
      </c>
      <c r="B41" s="34">
        <f>IF(C41="","",EDATE('Loan Details'!$C$7,40))</f>
      </c>
      <c r="C41" s="35">
        <f>IF(OR(40&gt;N('Loan Details'!$C$6),NOT(ISNUMBER('Loan Details'!$C$10)),G40=""),"",G40)</f>
      </c>
      <c r="D41" s="35">
        <f>IF(C41="","",MIN('Loan Details'!$C$10,C41+E41))</f>
      </c>
      <c r="E41" s="35">
        <f>IF(C41="","",C41*'Loan Details'!$C$5/12)</f>
      </c>
      <c r="F41" s="35">
        <f>IF(C41="","",D41-E41)</f>
      </c>
      <c r="G41" s="35">
        <f>IF(C41="","",C41-F41)</f>
      </c>
      <c r="H41" s="36">
        <f>IF(C41="","",IF(40&lt;=N('Loan Details'!$C$13),"Paid",IF(B41&lt;TODAY(),"OVERDUE",IF(B41&lt;=TODAY()+7,"DUE SOON","Upcoming"))))</f>
      </c>
    </row>
    <row r="42" spans="1:8" x14ac:dyDescent="0.25">
      <c r="A42" s="25">
        <v>41</v>
      </c>
      <c r="B42" s="30">
        <f>IF(C42="","",EDATE('Loan Details'!$C$7,41))</f>
      </c>
      <c r="C42" s="31">
        <f>IF(OR(41&gt;N('Loan Details'!$C$6),NOT(ISNUMBER('Loan Details'!$C$10)),G41=""),"",G41)</f>
      </c>
      <c r="D42" s="31">
        <f>IF(C42="","",MIN('Loan Details'!$C$10,C42+E42))</f>
      </c>
      <c r="E42" s="31">
        <f>IF(C42="","",C42*'Loan Details'!$C$5/12)</f>
      </c>
      <c r="F42" s="31">
        <f>IF(C42="","",D42-E42)</f>
      </c>
      <c r="G42" s="31">
        <f>IF(C42="","",C42-F42)</f>
      </c>
      <c r="H42" s="32">
        <f>IF(C42="","",IF(41&lt;=N('Loan Details'!$C$13),"Paid",IF(B42&lt;TODAY(),"OVERDUE",IF(B42&lt;=TODAY()+7,"DUE SOON","Upcoming"))))</f>
      </c>
    </row>
    <row r="43" spans="1:8" x14ac:dyDescent="0.25">
      <c r="A43" s="33">
        <v>42</v>
      </c>
      <c r="B43" s="34">
        <f>IF(C43="","",EDATE('Loan Details'!$C$7,42))</f>
      </c>
      <c r="C43" s="35">
        <f>IF(OR(42&gt;N('Loan Details'!$C$6),NOT(ISNUMBER('Loan Details'!$C$10)),G42=""),"",G42)</f>
      </c>
      <c r="D43" s="35">
        <f>IF(C43="","",MIN('Loan Details'!$C$10,C43+E43))</f>
      </c>
      <c r="E43" s="35">
        <f>IF(C43="","",C43*'Loan Details'!$C$5/12)</f>
      </c>
      <c r="F43" s="35">
        <f>IF(C43="","",D43-E43)</f>
      </c>
      <c r="G43" s="35">
        <f>IF(C43="","",C43-F43)</f>
      </c>
      <c r="H43" s="36">
        <f>IF(C43="","",IF(42&lt;=N('Loan Details'!$C$13),"Paid",IF(B43&lt;TODAY(),"OVERDUE",IF(B43&lt;=TODAY()+7,"DUE SOON","Upcoming"))))</f>
      </c>
    </row>
    <row r="44" spans="1:8" x14ac:dyDescent="0.25">
      <c r="A44" s="25">
        <v>43</v>
      </c>
      <c r="B44" s="30">
        <f>IF(C44="","",EDATE('Loan Details'!$C$7,43))</f>
      </c>
      <c r="C44" s="31">
        <f>IF(OR(43&gt;N('Loan Details'!$C$6),NOT(ISNUMBER('Loan Details'!$C$10)),G43=""),"",G43)</f>
      </c>
      <c r="D44" s="31">
        <f>IF(C44="","",MIN('Loan Details'!$C$10,C44+E44))</f>
      </c>
      <c r="E44" s="31">
        <f>IF(C44="","",C44*'Loan Details'!$C$5/12)</f>
      </c>
      <c r="F44" s="31">
        <f>IF(C44="","",D44-E44)</f>
      </c>
      <c r="G44" s="31">
        <f>IF(C44="","",C44-F44)</f>
      </c>
      <c r="H44" s="32">
        <f>IF(C44="","",IF(43&lt;=N('Loan Details'!$C$13),"Paid",IF(B44&lt;TODAY(),"OVERDUE",IF(B44&lt;=TODAY()+7,"DUE SOON","Upcoming"))))</f>
      </c>
    </row>
    <row r="45" spans="1:8" x14ac:dyDescent="0.25">
      <c r="A45" s="33">
        <v>44</v>
      </c>
      <c r="B45" s="34">
        <f>IF(C45="","",EDATE('Loan Details'!$C$7,44))</f>
      </c>
      <c r="C45" s="35">
        <f>IF(OR(44&gt;N('Loan Details'!$C$6),NOT(ISNUMBER('Loan Details'!$C$10)),G44=""),"",G44)</f>
      </c>
      <c r="D45" s="35">
        <f>IF(C45="","",MIN('Loan Details'!$C$10,C45+E45))</f>
      </c>
      <c r="E45" s="35">
        <f>IF(C45="","",C45*'Loan Details'!$C$5/12)</f>
      </c>
      <c r="F45" s="35">
        <f>IF(C45="","",D45-E45)</f>
      </c>
      <c r="G45" s="35">
        <f>IF(C45="","",C45-F45)</f>
      </c>
      <c r="H45" s="36">
        <f>IF(C45="","",IF(44&lt;=N('Loan Details'!$C$13),"Paid",IF(B45&lt;TODAY(),"OVERDUE",IF(B45&lt;=TODAY()+7,"DUE SOON","Upcoming"))))</f>
      </c>
    </row>
    <row r="46" spans="1:8" x14ac:dyDescent="0.25">
      <c r="A46" s="25">
        <v>45</v>
      </c>
      <c r="B46" s="30">
        <f>IF(C46="","",EDATE('Loan Details'!$C$7,45))</f>
      </c>
      <c r="C46" s="31">
        <f>IF(OR(45&gt;N('Loan Details'!$C$6),NOT(ISNUMBER('Loan Details'!$C$10)),G45=""),"",G45)</f>
      </c>
      <c r="D46" s="31">
        <f>IF(C46="","",MIN('Loan Details'!$C$10,C46+E46))</f>
      </c>
      <c r="E46" s="31">
        <f>IF(C46="","",C46*'Loan Details'!$C$5/12)</f>
      </c>
      <c r="F46" s="31">
        <f>IF(C46="","",D46-E46)</f>
      </c>
      <c r="G46" s="31">
        <f>IF(C46="","",C46-F46)</f>
      </c>
      <c r="H46" s="32">
        <f>IF(C46="","",IF(45&lt;=N('Loan Details'!$C$13),"Paid",IF(B46&lt;TODAY(),"OVERDUE",IF(B46&lt;=TODAY()+7,"DUE SOON","Upcoming"))))</f>
      </c>
    </row>
    <row r="47" spans="1:8" x14ac:dyDescent="0.25">
      <c r="A47" s="33">
        <v>46</v>
      </c>
      <c r="B47" s="34">
        <f>IF(C47="","",EDATE('Loan Details'!$C$7,46))</f>
      </c>
      <c r="C47" s="35">
        <f>IF(OR(46&gt;N('Loan Details'!$C$6),NOT(ISNUMBER('Loan Details'!$C$10)),G46=""),"",G46)</f>
      </c>
      <c r="D47" s="35">
        <f>IF(C47="","",MIN('Loan Details'!$C$10,C47+E47))</f>
      </c>
      <c r="E47" s="35">
        <f>IF(C47="","",C47*'Loan Details'!$C$5/12)</f>
      </c>
      <c r="F47" s="35">
        <f>IF(C47="","",D47-E47)</f>
      </c>
      <c r="G47" s="35">
        <f>IF(C47="","",C47-F47)</f>
      </c>
      <c r="H47" s="36">
        <f>IF(C47="","",IF(46&lt;=N('Loan Details'!$C$13),"Paid",IF(B47&lt;TODAY(),"OVERDUE",IF(B47&lt;=TODAY()+7,"DUE SOON","Upcoming"))))</f>
      </c>
    </row>
    <row r="48" spans="1:8" x14ac:dyDescent="0.25">
      <c r="A48" s="25">
        <v>47</v>
      </c>
      <c r="B48" s="30">
        <f>IF(C48="","",EDATE('Loan Details'!$C$7,47))</f>
      </c>
      <c r="C48" s="31">
        <f>IF(OR(47&gt;N('Loan Details'!$C$6),NOT(ISNUMBER('Loan Details'!$C$10)),G47=""),"",G47)</f>
      </c>
      <c r="D48" s="31">
        <f>IF(C48="","",MIN('Loan Details'!$C$10,C48+E48))</f>
      </c>
      <c r="E48" s="31">
        <f>IF(C48="","",C48*'Loan Details'!$C$5/12)</f>
      </c>
      <c r="F48" s="31">
        <f>IF(C48="","",D48-E48)</f>
      </c>
      <c r="G48" s="31">
        <f>IF(C48="","",C48-F48)</f>
      </c>
      <c r="H48" s="32">
        <f>IF(C48="","",IF(47&lt;=N('Loan Details'!$C$13),"Paid",IF(B48&lt;TODAY(),"OVERDUE",IF(B48&lt;=TODAY()+7,"DUE SOON","Upcoming"))))</f>
      </c>
    </row>
    <row r="49" spans="1:8" x14ac:dyDescent="0.25">
      <c r="A49" s="33">
        <v>48</v>
      </c>
      <c r="B49" s="34">
        <f>IF(C49="","",EDATE('Loan Details'!$C$7,48))</f>
      </c>
      <c r="C49" s="35">
        <f>IF(OR(48&gt;N('Loan Details'!$C$6),NOT(ISNUMBER('Loan Details'!$C$10)),G48=""),"",G48)</f>
      </c>
      <c r="D49" s="35">
        <f>IF(C49="","",MIN('Loan Details'!$C$10,C49+E49))</f>
      </c>
      <c r="E49" s="35">
        <f>IF(C49="","",C49*'Loan Details'!$C$5/12)</f>
      </c>
      <c r="F49" s="35">
        <f>IF(C49="","",D49-E49)</f>
      </c>
      <c r="G49" s="35">
        <f>IF(C49="","",C49-F49)</f>
      </c>
      <c r="H49" s="36">
        <f>IF(C49="","",IF(48&lt;=N('Loan Details'!$C$13),"Paid",IF(B49&lt;TODAY(),"OVERDUE",IF(B49&lt;=TODAY()+7,"DUE SOON","Upcoming"))))</f>
      </c>
    </row>
    <row r="50" spans="1:8" x14ac:dyDescent="0.25">
      <c r="A50" s="25">
        <v>49</v>
      </c>
      <c r="B50" s="30">
        <f>IF(C50="","",EDATE('Loan Details'!$C$7,49))</f>
      </c>
      <c r="C50" s="31">
        <f>IF(OR(49&gt;N('Loan Details'!$C$6),NOT(ISNUMBER('Loan Details'!$C$10)),G49=""),"",G49)</f>
      </c>
      <c r="D50" s="31">
        <f>IF(C50="","",MIN('Loan Details'!$C$10,C50+E50))</f>
      </c>
      <c r="E50" s="31">
        <f>IF(C50="","",C50*'Loan Details'!$C$5/12)</f>
      </c>
      <c r="F50" s="31">
        <f>IF(C50="","",D50-E50)</f>
      </c>
      <c r="G50" s="31">
        <f>IF(C50="","",C50-F50)</f>
      </c>
      <c r="H50" s="32">
        <f>IF(C50="","",IF(49&lt;=N('Loan Details'!$C$13),"Paid",IF(B50&lt;TODAY(),"OVERDUE",IF(B50&lt;=TODAY()+7,"DUE SOON","Upcoming"))))</f>
      </c>
    </row>
    <row r="51" spans="1:8" x14ac:dyDescent="0.25">
      <c r="A51" s="33">
        <v>50</v>
      </c>
      <c r="B51" s="34">
        <f>IF(C51="","",EDATE('Loan Details'!$C$7,50))</f>
      </c>
      <c r="C51" s="35">
        <f>IF(OR(50&gt;N('Loan Details'!$C$6),NOT(ISNUMBER('Loan Details'!$C$10)),G50=""),"",G50)</f>
      </c>
      <c r="D51" s="35">
        <f>IF(C51="","",MIN('Loan Details'!$C$10,C51+E51))</f>
      </c>
      <c r="E51" s="35">
        <f>IF(C51="","",C51*'Loan Details'!$C$5/12)</f>
      </c>
      <c r="F51" s="35">
        <f>IF(C51="","",D51-E51)</f>
      </c>
      <c r="G51" s="35">
        <f>IF(C51="","",C51-F51)</f>
      </c>
      <c r="H51" s="36">
        <f>IF(C51="","",IF(50&lt;=N('Loan Details'!$C$13),"Paid",IF(B51&lt;TODAY(),"OVERDUE",IF(B51&lt;=TODAY()+7,"DUE SOON","Upcoming"))))</f>
      </c>
    </row>
    <row r="52" spans="1:8" x14ac:dyDescent="0.25">
      <c r="A52" s="25">
        <v>51</v>
      </c>
      <c r="B52" s="30">
        <f>IF(C52="","",EDATE('Loan Details'!$C$7,51))</f>
      </c>
      <c r="C52" s="31">
        <f>IF(OR(51&gt;N('Loan Details'!$C$6),NOT(ISNUMBER('Loan Details'!$C$10)),G51=""),"",G51)</f>
      </c>
      <c r="D52" s="31">
        <f>IF(C52="","",MIN('Loan Details'!$C$10,C52+E52))</f>
      </c>
      <c r="E52" s="31">
        <f>IF(C52="","",C52*'Loan Details'!$C$5/12)</f>
      </c>
      <c r="F52" s="31">
        <f>IF(C52="","",D52-E52)</f>
      </c>
      <c r="G52" s="31">
        <f>IF(C52="","",C52-F52)</f>
      </c>
      <c r="H52" s="32">
        <f>IF(C52="","",IF(51&lt;=N('Loan Details'!$C$13),"Paid",IF(B52&lt;TODAY(),"OVERDUE",IF(B52&lt;=TODAY()+7,"DUE SOON","Upcoming"))))</f>
      </c>
    </row>
    <row r="53" spans="1:8" x14ac:dyDescent="0.25">
      <c r="A53" s="33">
        <v>52</v>
      </c>
      <c r="B53" s="34">
        <f>IF(C53="","",EDATE('Loan Details'!$C$7,52))</f>
      </c>
      <c r="C53" s="35">
        <f>IF(OR(52&gt;N('Loan Details'!$C$6),NOT(ISNUMBER('Loan Details'!$C$10)),G52=""),"",G52)</f>
      </c>
      <c r="D53" s="35">
        <f>IF(C53="","",MIN('Loan Details'!$C$10,C53+E53))</f>
      </c>
      <c r="E53" s="35">
        <f>IF(C53="","",C53*'Loan Details'!$C$5/12)</f>
      </c>
      <c r="F53" s="35">
        <f>IF(C53="","",D53-E53)</f>
      </c>
      <c r="G53" s="35">
        <f>IF(C53="","",C53-F53)</f>
      </c>
      <c r="H53" s="36">
        <f>IF(C53="","",IF(52&lt;=N('Loan Details'!$C$13),"Paid",IF(B53&lt;TODAY(),"OVERDUE",IF(B53&lt;=TODAY()+7,"DUE SOON","Upcoming"))))</f>
      </c>
    </row>
    <row r="54" spans="1:8" x14ac:dyDescent="0.25">
      <c r="A54" s="25">
        <v>53</v>
      </c>
      <c r="B54" s="30">
        <f>IF(C54="","",EDATE('Loan Details'!$C$7,53))</f>
      </c>
      <c r="C54" s="31">
        <f>IF(OR(53&gt;N('Loan Details'!$C$6),NOT(ISNUMBER('Loan Details'!$C$10)),G53=""),"",G53)</f>
      </c>
      <c r="D54" s="31">
        <f>IF(C54="","",MIN('Loan Details'!$C$10,C54+E54))</f>
      </c>
      <c r="E54" s="31">
        <f>IF(C54="","",C54*'Loan Details'!$C$5/12)</f>
      </c>
      <c r="F54" s="31">
        <f>IF(C54="","",D54-E54)</f>
      </c>
      <c r="G54" s="31">
        <f>IF(C54="","",C54-F54)</f>
      </c>
      <c r="H54" s="32">
        <f>IF(C54="","",IF(53&lt;=N('Loan Details'!$C$13),"Paid",IF(B54&lt;TODAY(),"OVERDUE",IF(B54&lt;=TODAY()+7,"DUE SOON","Upcoming"))))</f>
      </c>
    </row>
    <row r="55" spans="1:8" x14ac:dyDescent="0.25">
      <c r="A55" s="33">
        <v>54</v>
      </c>
      <c r="B55" s="34">
        <f>IF(C55="","",EDATE('Loan Details'!$C$7,54))</f>
      </c>
      <c r="C55" s="35">
        <f>IF(OR(54&gt;N('Loan Details'!$C$6),NOT(ISNUMBER('Loan Details'!$C$10)),G54=""),"",G54)</f>
      </c>
      <c r="D55" s="35">
        <f>IF(C55="","",MIN('Loan Details'!$C$10,C55+E55))</f>
      </c>
      <c r="E55" s="35">
        <f>IF(C55="","",C55*'Loan Details'!$C$5/12)</f>
      </c>
      <c r="F55" s="35">
        <f>IF(C55="","",D55-E55)</f>
      </c>
      <c r="G55" s="35">
        <f>IF(C55="","",C55-F55)</f>
      </c>
      <c r="H55" s="36">
        <f>IF(C55="","",IF(54&lt;=N('Loan Details'!$C$13),"Paid",IF(B55&lt;TODAY(),"OVERDUE",IF(B55&lt;=TODAY()+7,"DUE SOON","Upcoming"))))</f>
      </c>
    </row>
    <row r="56" spans="1:8" x14ac:dyDescent="0.25">
      <c r="A56" s="25">
        <v>55</v>
      </c>
      <c r="B56" s="30">
        <f>IF(C56="","",EDATE('Loan Details'!$C$7,55))</f>
      </c>
      <c r="C56" s="31">
        <f>IF(OR(55&gt;N('Loan Details'!$C$6),NOT(ISNUMBER('Loan Details'!$C$10)),G55=""),"",G55)</f>
      </c>
      <c r="D56" s="31">
        <f>IF(C56="","",MIN('Loan Details'!$C$10,C56+E56))</f>
      </c>
      <c r="E56" s="31">
        <f>IF(C56="","",C56*'Loan Details'!$C$5/12)</f>
      </c>
      <c r="F56" s="31">
        <f>IF(C56="","",D56-E56)</f>
      </c>
      <c r="G56" s="31">
        <f>IF(C56="","",C56-F56)</f>
      </c>
      <c r="H56" s="32">
        <f>IF(C56="","",IF(55&lt;=N('Loan Details'!$C$13),"Paid",IF(B56&lt;TODAY(),"OVERDUE",IF(B56&lt;=TODAY()+7,"DUE SOON","Upcoming"))))</f>
      </c>
    </row>
    <row r="57" spans="1:8" x14ac:dyDescent="0.25">
      <c r="A57" s="33">
        <v>56</v>
      </c>
      <c r="B57" s="34">
        <f>IF(C57="","",EDATE('Loan Details'!$C$7,56))</f>
      </c>
      <c r="C57" s="35">
        <f>IF(OR(56&gt;N('Loan Details'!$C$6),NOT(ISNUMBER('Loan Details'!$C$10)),G56=""),"",G56)</f>
      </c>
      <c r="D57" s="35">
        <f>IF(C57="","",MIN('Loan Details'!$C$10,C57+E57))</f>
      </c>
      <c r="E57" s="35">
        <f>IF(C57="","",C57*'Loan Details'!$C$5/12)</f>
      </c>
      <c r="F57" s="35">
        <f>IF(C57="","",D57-E57)</f>
      </c>
      <c r="G57" s="35">
        <f>IF(C57="","",C57-F57)</f>
      </c>
      <c r="H57" s="36">
        <f>IF(C57="","",IF(56&lt;=N('Loan Details'!$C$13),"Paid",IF(B57&lt;TODAY(),"OVERDUE",IF(B57&lt;=TODAY()+7,"DUE SOON","Upcoming"))))</f>
      </c>
    </row>
    <row r="58" spans="1:8" x14ac:dyDescent="0.25">
      <c r="A58" s="25">
        <v>57</v>
      </c>
      <c r="B58" s="30">
        <f>IF(C58="","",EDATE('Loan Details'!$C$7,57))</f>
      </c>
      <c r="C58" s="31">
        <f>IF(OR(57&gt;N('Loan Details'!$C$6),NOT(ISNUMBER('Loan Details'!$C$10)),G57=""),"",G57)</f>
      </c>
      <c r="D58" s="31">
        <f>IF(C58="","",MIN('Loan Details'!$C$10,C58+E58))</f>
      </c>
      <c r="E58" s="31">
        <f>IF(C58="","",C58*'Loan Details'!$C$5/12)</f>
      </c>
      <c r="F58" s="31">
        <f>IF(C58="","",D58-E58)</f>
      </c>
      <c r="G58" s="31">
        <f>IF(C58="","",C58-F58)</f>
      </c>
      <c r="H58" s="32">
        <f>IF(C58="","",IF(57&lt;=N('Loan Details'!$C$13),"Paid",IF(B58&lt;TODAY(),"OVERDUE",IF(B58&lt;=TODAY()+7,"DUE SOON","Upcoming"))))</f>
      </c>
    </row>
    <row r="59" spans="1:8" x14ac:dyDescent="0.25">
      <c r="A59" s="33">
        <v>58</v>
      </c>
      <c r="B59" s="34">
        <f>IF(C59="","",EDATE('Loan Details'!$C$7,58))</f>
      </c>
      <c r="C59" s="35">
        <f>IF(OR(58&gt;N('Loan Details'!$C$6),NOT(ISNUMBER('Loan Details'!$C$10)),G58=""),"",G58)</f>
      </c>
      <c r="D59" s="35">
        <f>IF(C59="","",MIN('Loan Details'!$C$10,C59+E59))</f>
      </c>
      <c r="E59" s="35">
        <f>IF(C59="","",C59*'Loan Details'!$C$5/12)</f>
      </c>
      <c r="F59" s="35">
        <f>IF(C59="","",D59-E59)</f>
      </c>
      <c r="G59" s="35">
        <f>IF(C59="","",C59-F59)</f>
      </c>
      <c r="H59" s="36">
        <f>IF(C59="","",IF(58&lt;=N('Loan Details'!$C$13),"Paid",IF(B59&lt;TODAY(),"OVERDUE",IF(B59&lt;=TODAY()+7,"DUE SOON","Upcoming"))))</f>
      </c>
    </row>
    <row r="60" spans="1:8" x14ac:dyDescent="0.25">
      <c r="A60" s="25">
        <v>59</v>
      </c>
      <c r="B60" s="30">
        <f>IF(C60="","",EDATE('Loan Details'!$C$7,59))</f>
      </c>
      <c r="C60" s="31">
        <f>IF(OR(59&gt;N('Loan Details'!$C$6),NOT(ISNUMBER('Loan Details'!$C$10)),G59=""),"",G59)</f>
      </c>
      <c r="D60" s="31">
        <f>IF(C60="","",MIN('Loan Details'!$C$10,C60+E60))</f>
      </c>
      <c r="E60" s="31">
        <f>IF(C60="","",C60*'Loan Details'!$C$5/12)</f>
      </c>
      <c r="F60" s="31">
        <f>IF(C60="","",D60-E60)</f>
      </c>
      <c r="G60" s="31">
        <f>IF(C60="","",C60-F60)</f>
      </c>
      <c r="H60" s="32">
        <f>IF(C60="","",IF(59&lt;=N('Loan Details'!$C$13),"Paid",IF(B60&lt;TODAY(),"OVERDUE",IF(B60&lt;=TODAY()+7,"DUE SOON","Upcoming"))))</f>
      </c>
    </row>
    <row r="61" spans="1:8" x14ac:dyDescent="0.25">
      <c r="A61" s="33">
        <v>60</v>
      </c>
      <c r="B61" s="34">
        <f>IF(C61="","",EDATE('Loan Details'!$C$7,60))</f>
      </c>
      <c r="C61" s="35">
        <f>IF(OR(60&gt;N('Loan Details'!$C$6),NOT(ISNUMBER('Loan Details'!$C$10)),G60=""),"",G60)</f>
      </c>
      <c r="D61" s="35">
        <f>IF(C61="","",MIN('Loan Details'!$C$10,C61+E61))</f>
      </c>
      <c r="E61" s="35">
        <f>IF(C61="","",C61*'Loan Details'!$C$5/12)</f>
      </c>
      <c r="F61" s="35">
        <f>IF(C61="","",D61-E61)</f>
      </c>
      <c r="G61" s="35">
        <f>IF(C61="","",C61-F61)</f>
      </c>
      <c r="H61" s="36">
        <f>IF(C61="","",IF(60&lt;=N('Loan Details'!$C$13),"Paid",IF(B61&lt;TODAY(),"OVERDUE",IF(B61&lt;=TODAY()+7,"DUE SOON","Upcoming"))))</f>
      </c>
    </row>
    <row r="62" spans="1:8" x14ac:dyDescent="0.25">
      <c r="A62" s="25">
        <v>61</v>
      </c>
      <c r="B62" s="30">
        <f>IF(C62="","",EDATE('Loan Details'!$C$7,61))</f>
      </c>
      <c r="C62" s="31">
        <f>IF(OR(61&gt;N('Loan Details'!$C$6),NOT(ISNUMBER('Loan Details'!$C$10)),G61=""),"",G61)</f>
      </c>
      <c r="D62" s="31">
        <f>IF(C62="","",MIN('Loan Details'!$C$10,C62+E62))</f>
      </c>
      <c r="E62" s="31">
        <f>IF(C62="","",C62*'Loan Details'!$C$5/12)</f>
      </c>
      <c r="F62" s="31">
        <f>IF(C62="","",D62-E62)</f>
      </c>
      <c r="G62" s="31">
        <f>IF(C62="","",C62-F62)</f>
      </c>
      <c r="H62" s="32">
        <f>IF(C62="","",IF(61&lt;=N('Loan Details'!$C$13),"Paid",IF(B62&lt;TODAY(),"OVERDUE",IF(B62&lt;=TODAY()+7,"DUE SOON","Upcoming"))))</f>
      </c>
    </row>
    <row r="63" spans="1:8" x14ac:dyDescent="0.25">
      <c r="A63" s="33">
        <v>62</v>
      </c>
      <c r="B63" s="34">
        <f>IF(C63="","",EDATE('Loan Details'!$C$7,62))</f>
      </c>
      <c r="C63" s="35">
        <f>IF(OR(62&gt;N('Loan Details'!$C$6),NOT(ISNUMBER('Loan Details'!$C$10)),G62=""),"",G62)</f>
      </c>
      <c r="D63" s="35">
        <f>IF(C63="","",MIN('Loan Details'!$C$10,C63+E63))</f>
      </c>
      <c r="E63" s="35">
        <f>IF(C63="","",C63*'Loan Details'!$C$5/12)</f>
      </c>
      <c r="F63" s="35">
        <f>IF(C63="","",D63-E63)</f>
      </c>
      <c r="G63" s="35">
        <f>IF(C63="","",C63-F63)</f>
      </c>
      <c r="H63" s="36">
        <f>IF(C63="","",IF(62&lt;=N('Loan Details'!$C$13),"Paid",IF(B63&lt;TODAY(),"OVERDUE",IF(B63&lt;=TODAY()+7,"DUE SOON","Upcoming"))))</f>
      </c>
    </row>
    <row r="64" spans="1:8" x14ac:dyDescent="0.25">
      <c r="A64" s="25">
        <v>63</v>
      </c>
      <c r="B64" s="30">
        <f>IF(C64="","",EDATE('Loan Details'!$C$7,63))</f>
      </c>
      <c r="C64" s="31">
        <f>IF(OR(63&gt;N('Loan Details'!$C$6),NOT(ISNUMBER('Loan Details'!$C$10)),G63=""),"",G63)</f>
      </c>
      <c r="D64" s="31">
        <f>IF(C64="","",MIN('Loan Details'!$C$10,C64+E64))</f>
      </c>
      <c r="E64" s="31">
        <f>IF(C64="","",C64*'Loan Details'!$C$5/12)</f>
      </c>
      <c r="F64" s="31">
        <f>IF(C64="","",D64-E64)</f>
      </c>
      <c r="G64" s="31">
        <f>IF(C64="","",C64-F64)</f>
      </c>
      <c r="H64" s="32">
        <f>IF(C64="","",IF(63&lt;=N('Loan Details'!$C$13),"Paid",IF(B64&lt;TODAY(),"OVERDUE",IF(B64&lt;=TODAY()+7,"DUE SOON","Upcoming"))))</f>
      </c>
    </row>
    <row r="65" spans="1:8" x14ac:dyDescent="0.25">
      <c r="A65" s="33">
        <v>64</v>
      </c>
      <c r="B65" s="34">
        <f>IF(C65="","",EDATE('Loan Details'!$C$7,64))</f>
      </c>
      <c r="C65" s="35">
        <f>IF(OR(64&gt;N('Loan Details'!$C$6),NOT(ISNUMBER('Loan Details'!$C$10)),G64=""),"",G64)</f>
      </c>
      <c r="D65" s="35">
        <f>IF(C65="","",MIN('Loan Details'!$C$10,C65+E65))</f>
      </c>
      <c r="E65" s="35">
        <f>IF(C65="","",C65*'Loan Details'!$C$5/12)</f>
      </c>
      <c r="F65" s="35">
        <f>IF(C65="","",D65-E65)</f>
      </c>
      <c r="G65" s="35">
        <f>IF(C65="","",C65-F65)</f>
      </c>
      <c r="H65" s="36">
        <f>IF(C65="","",IF(64&lt;=N('Loan Details'!$C$13),"Paid",IF(B65&lt;TODAY(),"OVERDUE",IF(B65&lt;=TODAY()+7,"DUE SOON","Upcoming"))))</f>
      </c>
    </row>
    <row r="66" spans="1:8" x14ac:dyDescent="0.25">
      <c r="A66" s="25">
        <v>65</v>
      </c>
      <c r="B66" s="30">
        <f>IF(C66="","",EDATE('Loan Details'!$C$7,65))</f>
      </c>
      <c r="C66" s="31">
        <f>IF(OR(65&gt;N('Loan Details'!$C$6),NOT(ISNUMBER('Loan Details'!$C$10)),G65=""),"",G65)</f>
      </c>
      <c r="D66" s="31">
        <f>IF(C66="","",MIN('Loan Details'!$C$10,C66+E66))</f>
      </c>
      <c r="E66" s="31">
        <f>IF(C66="","",C66*'Loan Details'!$C$5/12)</f>
      </c>
      <c r="F66" s="31">
        <f>IF(C66="","",D66-E66)</f>
      </c>
      <c r="G66" s="31">
        <f>IF(C66="","",C66-F66)</f>
      </c>
      <c r="H66" s="32">
        <f>IF(C66="","",IF(65&lt;=N('Loan Details'!$C$13),"Paid",IF(B66&lt;TODAY(),"OVERDUE",IF(B66&lt;=TODAY()+7,"DUE SOON","Upcoming"))))</f>
      </c>
    </row>
    <row r="67" spans="1:8" x14ac:dyDescent="0.25">
      <c r="A67" s="33">
        <v>66</v>
      </c>
      <c r="B67" s="34">
        <f>IF(C67="","",EDATE('Loan Details'!$C$7,66))</f>
      </c>
      <c r="C67" s="35">
        <f>IF(OR(66&gt;N('Loan Details'!$C$6),NOT(ISNUMBER('Loan Details'!$C$10)),G66=""),"",G66)</f>
      </c>
      <c r="D67" s="35">
        <f>IF(C67="","",MIN('Loan Details'!$C$10,C67+E67))</f>
      </c>
      <c r="E67" s="35">
        <f>IF(C67="","",C67*'Loan Details'!$C$5/12)</f>
      </c>
      <c r="F67" s="35">
        <f>IF(C67="","",D67-E67)</f>
      </c>
      <c r="G67" s="35">
        <f>IF(C67="","",C67-F67)</f>
      </c>
      <c r="H67" s="36">
        <f>IF(C67="","",IF(66&lt;=N('Loan Details'!$C$13),"Paid",IF(B67&lt;TODAY(),"OVERDUE",IF(B67&lt;=TODAY()+7,"DUE SOON","Upcoming"))))</f>
      </c>
    </row>
    <row r="68" spans="1:8" x14ac:dyDescent="0.25">
      <c r="A68" s="25">
        <v>67</v>
      </c>
      <c r="B68" s="30">
        <f>IF(C68="","",EDATE('Loan Details'!$C$7,67))</f>
      </c>
      <c r="C68" s="31">
        <f>IF(OR(67&gt;N('Loan Details'!$C$6),NOT(ISNUMBER('Loan Details'!$C$10)),G67=""),"",G67)</f>
      </c>
      <c r="D68" s="31">
        <f>IF(C68="","",MIN('Loan Details'!$C$10,C68+E68))</f>
      </c>
      <c r="E68" s="31">
        <f>IF(C68="","",C68*'Loan Details'!$C$5/12)</f>
      </c>
      <c r="F68" s="31">
        <f>IF(C68="","",D68-E68)</f>
      </c>
      <c r="G68" s="31">
        <f>IF(C68="","",C68-F68)</f>
      </c>
      <c r="H68" s="32">
        <f>IF(C68="","",IF(67&lt;=N('Loan Details'!$C$13),"Paid",IF(B68&lt;TODAY(),"OVERDUE",IF(B68&lt;=TODAY()+7,"DUE SOON","Upcoming"))))</f>
      </c>
    </row>
    <row r="69" spans="1:8" x14ac:dyDescent="0.25">
      <c r="A69" s="33">
        <v>68</v>
      </c>
      <c r="B69" s="34">
        <f>IF(C69="","",EDATE('Loan Details'!$C$7,68))</f>
      </c>
      <c r="C69" s="35">
        <f>IF(OR(68&gt;N('Loan Details'!$C$6),NOT(ISNUMBER('Loan Details'!$C$10)),G68=""),"",G68)</f>
      </c>
      <c r="D69" s="35">
        <f>IF(C69="","",MIN('Loan Details'!$C$10,C69+E69))</f>
      </c>
      <c r="E69" s="35">
        <f>IF(C69="","",C69*'Loan Details'!$C$5/12)</f>
      </c>
      <c r="F69" s="35">
        <f>IF(C69="","",D69-E69)</f>
      </c>
      <c r="G69" s="35">
        <f>IF(C69="","",C69-F69)</f>
      </c>
      <c r="H69" s="36">
        <f>IF(C69="","",IF(68&lt;=N('Loan Details'!$C$13),"Paid",IF(B69&lt;TODAY(),"OVERDUE",IF(B69&lt;=TODAY()+7,"DUE SOON","Upcoming"))))</f>
      </c>
    </row>
    <row r="70" spans="1:8" x14ac:dyDescent="0.25">
      <c r="A70" s="25">
        <v>69</v>
      </c>
      <c r="B70" s="30">
        <f>IF(C70="","",EDATE('Loan Details'!$C$7,69))</f>
      </c>
      <c r="C70" s="31">
        <f>IF(OR(69&gt;N('Loan Details'!$C$6),NOT(ISNUMBER('Loan Details'!$C$10)),G69=""),"",G69)</f>
      </c>
      <c r="D70" s="31">
        <f>IF(C70="","",MIN('Loan Details'!$C$10,C70+E70))</f>
      </c>
      <c r="E70" s="31">
        <f>IF(C70="","",C70*'Loan Details'!$C$5/12)</f>
      </c>
      <c r="F70" s="31">
        <f>IF(C70="","",D70-E70)</f>
      </c>
      <c r="G70" s="31">
        <f>IF(C70="","",C70-F70)</f>
      </c>
      <c r="H70" s="32">
        <f>IF(C70="","",IF(69&lt;=N('Loan Details'!$C$13),"Paid",IF(B70&lt;TODAY(),"OVERDUE",IF(B70&lt;=TODAY()+7,"DUE SOON","Upcoming"))))</f>
      </c>
    </row>
    <row r="71" spans="1:8" x14ac:dyDescent="0.25">
      <c r="A71" s="33">
        <v>70</v>
      </c>
      <c r="B71" s="34">
        <f>IF(C71="","",EDATE('Loan Details'!$C$7,70))</f>
      </c>
      <c r="C71" s="35">
        <f>IF(OR(70&gt;N('Loan Details'!$C$6),NOT(ISNUMBER('Loan Details'!$C$10)),G70=""),"",G70)</f>
      </c>
      <c r="D71" s="35">
        <f>IF(C71="","",MIN('Loan Details'!$C$10,C71+E71))</f>
      </c>
      <c r="E71" s="35">
        <f>IF(C71="","",C71*'Loan Details'!$C$5/12)</f>
      </c>
      <c r="F71" s="35">
        <f>IF(C71="","",D71-E71)</f>
      </c>
      <c r="G71" s="35">
        <f>IF(C71="","",C71-F71)</f>
      </c>
      <c r="H71" s="36">
        <f>IF(C71="","",IF(70&lt;=N('Loan Details'!$C$13),"Paid",IF(B71&lt;TODAY(),"OVERDUE",IF(B71&lt;=TODAY()+7,"DUE SOON","Upcoming"))))</f>
      </c>
    </row>
    <row r="72" spans="1:8" x14ac:dyDescent="0.25">
      <c r="A72" s="25">
        <v>71</v>
      </c>
      <c r="B72" s="30">
        <f>IF(C72="","",EDATE('Loan Details'!$C$7,71))</f>
      </c>
      <c r="C72" s="31">
        <f>IF(OR(71&gt;N('Loan Details'!$C$6),NOT(ISNUMBER('Loan Details'!$C$10)),G71=""),"",G71)</f>
      </c>
      <c r="D72" s="31">
        <f>IF(C72="","",MIN('Loan Details'!$C$10,C72+E72))</f>
      </c>
      <c r="E72" s="31">
        <f>IF(C72="","",C72*'Loan Details'!$C$5/12)</f>
      </c>
      <c r="F72" s="31">
        <f>IF(C72="","",D72-E72)</f>
      </c>
      <c r="G72" s="31">
        <f>IF(C72="","",C72-F72)</f>
      </c>
      <c r="H72" s="32">
        <f>IF(C72="","",IF(71&lt;=N('Loan Details'!$C$13),"Paid",IF(B72&lt;TODAY(),"OVERDUE",IF(B72&lt;=TODAY()+7,"DUE SOON","Upcoming"))))</f>
      </c>
    </row>
    <row r="73" spans="1:8" x14ac:dyDescent="0.25">
      <c r="A73" s="33">
        <v>72</v>
      </c>
      <c r="B73" s="34">
        <f>IF(C73="","",EDATE('Loan Details'!$C$7,72))</f>
      </c>
      <c r="C73" s="35">
        <f>IF(OR(72&gt;N('Loan Details'!$C$6),NOT(ISNUMBER('Loan Details'!$C$10)),G72=""),"",G72)</f>
      </c>
      <c r="D73" s="35">
        <f>IF(C73="","",MIN('Loan Details'!$C$10,C73+E73))</f>
      </c>
      <c r="E73" s="35">
        <f>IF(C73="","",C73*'Loan Details'!$C$5/12)</f>
      </c>
      <c r="F73" s="35">
        <f>IF(C73="","",D73-E73)</f>
      </c>
      <c r="G73" s="35">
        <f>IF(C73="","",C73-F73)</f>
      </c>
      <c r="H73" s="36">
        <f>IF(C73="","",IF(72&lt;=N('Loan Details'!$C$13),"Paid",IF(B73&lt;TODAY(),"OVERDUE",IF(B73&lt;=TODAY()+7,"DUE SOON","Upcoming"))))</f>
      </c>
    </row>
    <row r="74" spans="1:8" x14ac:dyDescent="0.25">
      <c r="A74" s="25">
        <v>73</v>
      </c>
      <c r="B74" s="30">
        <f>IF(C74="","",EDATE('Loan Details'!$C$7,73))</f>
      </c>
      <c r="C74" s="31">
        <f>IF(OR(73&gt;N('Loan Details'!$C$6),NOT(ISNUMBER('Loan Details'!$C$10)),G73=""),"",G73)</f>
      </c>
      <c r="D74" s="31">
        <f>IF(C74="","",MIN('Loan Details'!$C$10,C74+E74))</f>
      </c>
      <c r="E74" s="31">
        <f>IF(C74="","",C74*'Loan Details'!$C$5/12)</f>
      </c>
      <c r="F74" s="31">
        <f>IF(C74="","",D74-E74)</f>
      </c>
      <c r="G74" s="31">
        <f>IF(C74="","",C74-F74)</f>
      </c>
      <c r="H74" s="32">
        <f>IF(C74="","",IF(73&lt;=N('Loan Details'!$C$13),"Paid",IF(B74&lt;TODAY(),"OVERDUE",IF(B74&lt;=TODAY()+7,"DUE SOON","Upcoming"))))</f>
      </c>
    </row>
    <row r="75" spans="1:8" x14ac:dyDescent="0.25">
      <c r="A75" s="33">
        <v>74</v>
      </c>
      <c r="B75" s="34">
        <f>IF(C75="","",EDATE('Loan Details'!$C$7,74))</f>
      </c>
      <c r="C75" s="35">
        <f>IF(OR(74&gt;N('Loan Details'!$C$6),NOT(ISNUMBER('Loan Details'!$C$10)),G74=""),"",G74)</f>
      </c>
      <c r="D75" s="35">
        <f>IF(C75="","",MIN('Loan Details'!$C$10,C75+E75))</f>
      </c>
      <c r="E75" s="35">
        <f>IF(C75="","",C75*'Loan Details'!$C$5/12)</f>
      </c>
      <c r="F75" s="35">
        <f>IF(C75="","",D75-E75)</f>
      </c>
      <c r="G75" s="35">
        <f>IF(C75="","",C75-F75)</f>
      </c>
      <c r="H75" s="36">
        <f>IF(C75="","",IF(74&lt;=N('Loan Details'!$C$13),"Paid",IF(B75&lt;TODAY(),"OVERDUE",IF(B75&lt;=TODAY()+7,"DUE SOON","Upcoming"))))</f>
      </c>
    </row>
    <row r="76" spans="1:8" x14ac:dyDescent="0.25">
      <c r="A76" s="25">
        <v>75</v>
      </c>
      <c r="B76" s="30">
        <f>IF(C76="","",EDATE('Loan Details'!$C$7,75))</f>
      </c>
      <c r="C76" s="31">
        <f>IF(OR(75&gt;N('Loan Details'!$C$6),NOT(ISNUMBER('Loan Details'!$C$10)),G75=""),"",G75)</f>
      </c>
      <c r="D76" s="31">
        <f>IF(C76="","",MIN('Loan Details'!$C$10,C76+E76))</f>
      </c>
      <c r="E76" s="31">
        <f>IF(C76="","",C76*'Loan Details'!$C$5/12)</f>
      </c>
      <c r="F76" s="31">
        <f>IF(C76="","",D76-E76)</f>
      </c>
      <c r="G76" s="31">
        <f>IF(C76="","",C76-F76)</f>
      </c>
      <c r="H76" s="32">
        <f>IF(C76="","",IF(75&lt;=N('Loan Details'!$C$13),"Paid",IF(B76&lt;TODAY(),"OVERDUE",IF(B76&lt;=TODAY()+7,"DUE SOON","Upcoming"))))</f>
      </c>
    </row>
    <row r="77" spans="1:8" x14ac:dyDescent="0.25">
      <c r="A77" s="33">
        <v>76</v>
      </c>
      <c r="B77" s="34">
        <f>IF(C77="","",EDATE('Loan Details'!$C$7,76))</f>
      </c>
      <c r="C77" s="35">
        <f>IF(OR(76&gt;N('Loan Details'!$C$6),NOT(ISNUMBER('Loan Details'!$C$10)),G76=""),"",G76)</f>
      </c>
      <c r="D77" s="35">
        <f>IF(C77="","",MIN('Loan Details'!$C$10,C77+E77))</f>
      </c>
      <c r="E77" s="35">
        <f>IF(C77="","",C77*'Loan Details'!$C$5/12)</f>
      </c>
      <c r="F77" s="35">
        <f>IF(C77="","",D77-E77)</f>
      </c>
      <c r="G77" s="35">
        <f>IF(C77="","",C77-F77)</f>
      </c>
      <c r="H77" s="36">
        <f>IF(C77="","",IF(76&lt;=N('Loan Details'!$C$13),"Paid",IF(B77&lt;TODAY(),"OVERDUE",IF(B77&lt;=TODAY()+7,"DUE SOON","Upcoming"))))</f>
      </c>
    </row>
    <row r="78" spans="1:8" x14ac:dyDescent="0.25">
      <c r="A78" s="25">
        <v>77</v>
      </c>
      <c r="B78" s="30">
        <f>IF(C78="","",EDATE('Loan Details'!$C$7,77))</f>
      </c>
      <c r="C78" s="31">
        <f>IF(OR(77&gt;N('Loan Details'!$C$6),NOT(ISNUMBER('Loan Details'!$C$10)),G77=""),"",G77)</f>
      </c>
      <c r="D78" s="31">
        <f>IF(C78="","",MIN('Loan Details'!$C$10,C78+E78))</f>
      </c>
      <c r="E78" s="31">
        <f>IF(C78="","",C78*'Loan Details'!$C$5/12)</f>
      </c>
      <c r="F78" s="31">
        <f>IF(C78="","",D78-E78)</f>
      </c>
      <c r="G78" s="31">
        <f>IF(C78="","",C78-F78)</f>
      </c>
      <c r="H78" s="32">
        <f>IF(C78="","",IF(77&lt;=N('Loan Details'!$C$13),"Paid",IF(B78&lt;TODAY(),"OVERDUE",IF(B78&lt;=TODAY()+7,"DUE SOON","Upcoming"))))</f>
      </c>
    </row>
    <row r="79" spans="1:8" x14ac:dyDescent="0.25">
      <c r="A79" s="33">
        <v>78</v>
      </c>
      <c r="B79" s="34">
        <f>IF(C79="","",EDATE('Loan Details'!$C$7,78))</f>
      </c>
      <c r="C79" s="35">
        <f>IF(OR(78&gt;N('Loan Details'!$C$6),NOT(ISNUMBER('Loan Details'!$C$10)),G78=""),"",G78)</f>
      </c>
      <c r="D79" s="35">
        <f>IF(C79="","",MIN('Loan Details'!$C$10,C79+E79))</f>
      </c>
      <c r="E79" s="35">
        <f>IF(C79="","",C79*'Loan Details'!$C$5/12)</f>
      </c>
      <c r="F79" s="35">
        <f>IF(C79="","",D79-E79)</f>
      </c>
      <c r="G79" s="35">
        <f>IF(C79="","",C79-F79)</f>
      </c>
      <c r="H79" s="36">
        <f>IF(C79="","",IF(78&lt;=N('Loan Details'!$C$13),"Paid",IF(B79&lt;TODAY(),"OVERDUE",IF(B79&lt;=TODAY()+7,"DUE SOON","Upcoming"))))</f>
      </c>
    </row>
    <row r="80" spans="1:8" x14ac:dyDescent="0.25">
      <c r="A80" s="25">
        <v>79</v>
      </c>
      <c r="B80" s="30">
        <f>IF(C80="","",EDATE('Loan Details'!$C$7,79))</f>
      </c>
      <c r="C80" s="31">
        <f>IF(OR(79&gt;N('Loan Details'!$C$6),NOT(ISNUMBER('Loan Details'!$C$10)),G79=""),"",G79)</f>
      </c>
      <c r="D80" s="31">
        <f>IF(C80="","",MIN('Loan Details'!$C$10,C80+E80))</f>
      </c>
      <c r="E80" s="31">
        <f>IF(C80="","",C80*'Loan Details'!$C$5/12)</f>
      </c>
      <c r="F80" s="31">
        <f>IF(C80="","",D80-E80)</f>
      </c>
      <c r="G80" s="31">
        <f>IF(C80="","",C80-F80)</f>
      </c>
      <c r="H80" s="32">
        <f>IF(C80="","",IF(79&lt;=N('Loan Details'!$C$13),"Paid",IF(B80&lt;TODAY(),"OVERDUE",IF(B80&lt;=TODAY()+7,"DUE SOON","Upcoming"))))</f>
      </c>
    </row>
    <row r="81" spans="1:8" x14ac:dyDescent="0.25">
      <c r="A81" s="33">
        <v>80</v>
      </c>
      <c r="B81" s="34">
        <f>IF(C81="","",EDATE('Loan Details'!$C$7,80))</f>
      </c>
      <c r="C81" s="35">
        <f>IF(OR(80&gt;N('Loan Details'!$C$6),NOT(ISNUMBER('Loan Details'!$C$10)),G80=""),"",G80)</f>
      </c>
      <c r="D81" s="35">
        <f>IF(C81="","",MIN('Loan Details'!$C$10,C81+E81))</f>
      </c>
      <c r="E81" s="35">
        <f>IF(C81="","",C81*'Loan Details'!$C$5/12)</f>
      </c>
      <c r="F81" s="35">
        <f>IF(C81="","",D81-E81)</f>
      </c>
      <c r="G81" s="35">
        <f>IF(C81="","",C81-F81)</f>
      </c>
      <c r="H81" s="36">
        <f>IF(C81="","",IF(80&lt;=N('Loan Details'!$C$13),"Paid",IF(B81&lt;TODAY(),"OVERDUE",IF(B81&lt;=TODAY()+7,"DUE SOON","Upcoming"))))</f>
      </c>
    </row>
    <row r="82" spans="1:8" x14ac:dyDescent="0.25">
      <c r="A82" s="25">
        <v>81</v>
      </c>
      <c r="B82" s="30">
        <f>IF(C82="","",EDATE('Loan Details'!$C$7,81))</f>
      </c>
      <c r="C82" s="31">
        <f>IF(OR(81&gt;N('Loan Details'!$C$6),NOT(ISNUMBER('Loan Details'!$C$10)),G81=""),"",G81)</f>
      </c>
      <c r="D82" s="31">
        <f>IF(C82="","",MIN('Loan Details'!$C$10,C82+E82))</f>
      </c>
      <c r="E82" s="31">
        <f>IF(C82="","",C82*'Loan Details'!$C$5/12)</f>
      </c>
      <c r="F82" s="31">
        <f>IF(C82="","",D82-E82)</f>
      </c>
      <c r="G82" s="31">
        <f>IF(C82="","",C82-F82)</f>
      </c>
      <c r="H82" s="32">
        <f>IF(C82="","",IF(81&lt;=N('Loan Details'!$C$13),"Paid",IF(B82&lt;TODAY(),"OVERDUE",IF(B82&lt;=TODAY()+7,"DUE SOON","Upcoming"))))</f>
      </c>
    </row>
    <row r="83" spans="1:8" x14ac:dyDescent="0.25">
      <c r="A83" s="33">
        <v>82</v>
      </c>
      <c r="B83" s="34">
        <f>IF(C83="","",EDATE('Loan Details'!$C$7,82))</f>
      </c>
      <c r="C83" s="35">
        <f>IF(OR(82&gt;N('Loan Details'!$C$6),NOT(ISNUMBER('Loan Details'!$C$10)),G82=""),"",G82)</f>
      </c>
      <c r="D83" s="35">
        <f>IF(C83="","",MIN('Loan Details'!$C$10,C83+E83))</f>
      </c>
      <c r="E83" s="35">
        <f>IF(C83="","",C83*'Loan Details'!$C$5/12)</f>
      </c>
      <c r="F83" s="35">
        <f>IF(C83="","",D83-E83)</f>
      </c>
      <c r="G83" s="35">
        <f>IF(C83="","",C83-F83)</f>
      </c>
      <c r="H83" s="36">
        <f>IF(C83="","",IF(82&lt;=N('Loan Details'!$C$13),"Paid",IF(B83&lt;TODAY(),"OVERDUE",IF(B83&lt;=TODAY()+7,"DUE SOON","Upcoming"))))</f>
      </c>
    </row>
    <row r="84" spans="1:8" x14ac:dyDescent="0.25">
      <c r="A84" s="25">
        <v>83</v>
      </c>
      <c r="B84" s="30">
        <f>IF(C84="","",EDATE('Loan Details'!$C$7,83))</f>
      </c>
      <c r="C84" s="31">
        <f>IF(OR(83&gt;N('Loan Details'!$C$6),NOT(ISNUMBER('Loan Details'!$C$10)),G83=""),"",G83)</f>
      </c>
      <c r="D84" s="31">
        <f>IF(C84="","",MIN('Loan Details'!$C$10,C84+E84))</f>
      </c>
      <c r="E84" s="31">
        <f>IF(C84="","",C84*'Loan Details'!$C$5/12)</f>
      </c>
      <c r="F84" s="31">
        <f>IF(C84="","",D84-E84)</f>
      </c>
      <c r="G84" s="31">
        <f>IF(C84="","",C84-F84)</f>
      </c>
      <c r="H84" s="32">
        <f>IF(C84="","",IF(83&lt;=N('Loan Details'!$C$13),"Paid",IF(B84&lt;TODAY(),"OVERDUE",IF(B84&lt;=TODAY()+7,"DUE SOON","Upcoming"))))</f>
      </c>
    </row>
    <row r="85" spans="1:8" x14ac:dyDescent="0.25">
      <c r="A85" s="33">
        <v>84</v>
      </c>
      <c r="B85" s="34">
        <f>IF(C85="","",EDATE('Loan Details'!$C$7,84))</f>
      </c>
      <c r="C85" s="35">
        <f>IF(OR(84&gt;N('Loan Details'!$C$6),NOT(ISNUMBER('Loan Details'!$C$10)),G84=""),"",G84)</f>
      </c>
      <c r="D85" s="35">
        <f>IF(C85="","",MIN('Loan Details'!$C$10,C85+E85))</f>
      </c>
      <c r="E85" s="35">
        <f>IF(C85="","",C85*'Loan Details'!$C$5/12)</f>
      </c>
      <c r="F85" s="35">
        <f>IF(C85="","",D85-E85)</f>
      </c>
      <c r="G85" s="35">
        <f>IF(C85="","",C85-F85)</f>
      </c>
      <c r="H85" s="36">
        <f>IF(C85="","",IF(84&lt;=N('Loan Details'!$C$13),"Paid",IF(B85&lt;TODAY(),"OVERDUE",IF(B85&lt;=TODAY()+7,"DUE SOON","Upcoming"))))</f>
      </c>
    </row>
    <row r="86" spans="1:8" x14ac:dyDescent="0.25">
      <c r="A86" s="25">
        <v>85</v>
      </c>
      <c r="B86" s="30">
        <f>IF(C86="","",EDATE('Loan Details'!$C$7,85))</f>
      </c>
      <c r="C86" s="31">
        <f>IF(OR(85&gt;N('Loan Details'!$C$6),NOT(ISNUMBER('Loan Details'!$C$10)),G85=""),"",G85)</f>
      </c>
      <c r="D86" s="31">
        <f>IF(C86="","",MIN('Loan Details'!$C$10,C86+E86))</f>
      </c>
      <c r="E86" s="31">
        <f>IF(C86="","",C86*'Loan Details'!$C$5/12)</f>
      </c>
      <c r="F86" s="31">
        <f>IF(C86="","",D86-E86)</f>
      </c>
      <c r="G86" s="31">
        <f>IF(C86="","",C86-F86)</f>
      </c>
      <c r="H86" s="32">
        <f>IF(C86="","",IF(85&lt;=N('Loan Details'!$C$13),"Paid",IF(B86&lt;TODAY(),"OVERDUE",IF(B86&lt;=TODAY()+7,"DUE SOON","Upcoming"))))</f>
      </c>
    </row>
    <row r="87" spans="1:8" x14ac:dyDescent="0.25">
      <c r="A87" s="33">
        <v>86</v>
      </c>
      <c r="B87" s="34">
        <f>IF(C87="","",EDATE('Loan Details'!$C$7,86))</f>
      </c>
      <c r="C87" s="35">
        <f>IF(OR(86&gt;N('Loan Details'!$C$6),NOT(ISNUMBER('Loan Details'!$C$10)),G86=""),"",G86)</f>
      </c>
      <c r="D87" s="35">
        <f>IF(C87="","",MIN('Loan Details'!$C$10,C87+E87))</f>
      </c>
      <c r="E87" s="35">
        <f>IF(C87="","",C87*'Loan Details'!$C$5/12)</f>
      </c>
      <c r="F87" s="35">
        <f>IF(C87="","",D87-E87)</f>
      </c>
      <c r="G87" s="35">
        <f>IF(C87="","",C87-F87)</f>
      </c>
      <c r="H87" s="36">
        <f>IF(C87="","",IF(86&lt;=N('Loan Details'!$C$13),"Paid",IF(B87&lt;TODAY(),"OVERDUE",IF(B87&lt;=TODAY()+7,"DUE SOON","Upcoming"))))</f>
      </c>
    </row>
    <row r="88" spans="1:8" x14ac:dyDescent="0.25">
      <c r="A88" s="25">
        <v>87</v>
      </c>
      <c r="B88" s="30">
        <f>IF(C88="","",EDATE('Loan Details'!$C$7,87))</f>
      </c>
      <c r="C88" s="31">
        <f>IF(OR(87&gt;N('Loan Details'!$C$6),NOT(ISNUMBER('Loan Details'!$C$10)),G87=""),"",G87)</f>
      </c>
      <c r="D88" s="31">
        <f>IF(C88="","",MIN('Loan Details'!$C$10,C88+E88))</f>
      </c>
      <c r="E88" s="31">
        <f>IF(C88="","",C88*'Loan Details'!$C$5/12)</f>
      </c>
      <c r="F88" s="31">
        <f>IF(C88="","",D88-E88)</f>
      </c>
      <c r="G88" s="31">
        <f>IF(C88="","",C88-F88)</f>
      </c>
      <c r="H88" s="32">
        <f>IF(C88="","",IF(87&lt;=N('Loan Details'!$C$13),"Paid",IF(B88&lt;TODAY(),"OVERDUE",IF(B88&lt;=TODAY()+7,"DUE SOON","Upcoming"))))</f>
      </c>
    </row>
    <row r="89" spans="1:8" x14ac:dyDescent="0.25">
      <c r="A89" s="33">
        <v>88</v>
      </c>
      <c r="B89" s="34">
        <f>IF(C89="","",EDATE('Loan Details'!$C$7,88))</f>
      </c>
      <c r="C89" s="35">
        <f>IF(OR(88&gt;N('Loan Details'!$C$6),NOT(ISNUMBER('Loan Details'!$C$10)),G88=""),"",G88)</f>
      </c>
      <c r="D89" s="35">
        <f>IF(C89="","",MIN('Loan Details'!$C$10,C89+E89))</f>
      </c>
      <c r="E89" s="35">
        <f>IF(C89="","",C89*'Loan Details'!$C$5/12)</f>
      </c>
      <c r="F89" s="35">
        <f>IF(C89="","",D89-E89)</f>
      </c>
      <c r="G89" s="35">
        <f>IF(C89="","",C89-F89)</f>
      </c>
      <c r="H89" s="36">
        <f>IF(C89="","",IF(88&lt;=N('Loan Details'!$C$13),"Paid",IF(B89&lt;TODAY(),"OVERDUE",IF(B89&lt;=TODAY()+7,"DUE SOON","Upcoming"))))</f>
      </c>
    </row>
    <row r="90" spans="1:8" x14ac:dyDescent="0.25">
      <c r="A90" s="25">
        <v>89</v>
      </c>
      <c r="B90" s="30">
        <f>IF(C90="","",EDATE('Loan Details'!$C$7,89))</f>
      </c>
      <c r="C90" s="31">
        <f>IF(OR(89&gt;N('Loan Details'!$C$6),NOT(ISNUMBER('Loan Details'!$C$10)),G89=""),"",G89)</f>
      </c>
      <c r="D90" s="31">
        <f>IF(C90="","",MIN('Loan Details'!$C$10,C90+E90))</f>
      </c>
      <c r="E90" s="31">
        <f>IF(C90="","",C90*'Loan Details'!$C$5/12)</f>
      </c>
      <c r="F90" s="31">
        <f>IF(C90="","",D90-E90)</f>
      </c>
      <c r="G90" s="31">
        <f>IF(C90="","",C90-F90)</f>
      </c>
      <c r="H90" s="32">
        <f>IF(C90="","",IF(89&lt;=N('Loan Details'!$C$13),"Paid",IF(B90&lt;TODAY(),"OVERDUE",IF(B90&lt;=TODAY()+7,"DUE SOON","Upcoming"))))</f>
      </c>
    </row>
    <row r="91" spans="1:8" x14ac:dyDescent="0.25">
      <c r="A91" s="33">
        <v>90</v>
      </c>
      <c r="B91" s="34">
        <f>IF(C91="","",EDATE('Loan Details'!$C$7,90))</f>
      </c>
      <c r="C91" s="35">
        <f>IF(OR(90&gt;N('Loan Details'!$C$6),NOT(ISNUMBER('Loan Details'!$C$10)),G90=""),"",G90)</f>
      </c>
      <c r="D91" s="35">
        <f>IF(C91="","",MIN('Loan Details'!$C$10,C91+E91))</f>
      </c>
      <c r="E91" s="35">
        <f>IF(C91="","",C91*'Loan Details'!$C$5/12)</f>
      </c>
      <c r="F91" s="35">
        <f>IF(C91="","",D91-E91)</f>
      </c>
      <c r="G91" s="35">
        <f>IF(C91="","",C91-F91)</f>
      </c>
      <c r="H91" s="36">
        <f>IF(C91="","",IF(90&lt;=N('Loan Details'!$C$13),"Paid",IF(B91&lt;TODAY(),"OVERDUE",IF(B91&lt;=TODAY()+7,"DUE SOON","Upcoming"))))</f>
      </c>
    </row>
    <row r="92" spans="1:8" x14ac:dyDescent="0.25">
      <c r="A92" s="25">
        <v>91</v>
      </c>
      <c r="B92" s="30">
        <f>IF(C92="","",EDATE('Loan Details'!$C$7,91))</f>
      </c>
      <c r="C92" s="31">
        <f>IF(OR(91&gt;N('Loan Details'!$C$6),NOT(ISNUMBER('Loan Details'!$C$10)),G91=""),"",G91)</f>
      </c>
      <c r="D92" s="31">
        <f>IF(C92="","",MIN('Loan Details'!$C$10,C92+E92))</f>
      </c>
      <c r="E92" s="31">
        <f>IF(C92="","",C92*'Loan Details'!$C$5/12)</f>
      </c>
      <c r="F92" s="31">
        <f>IF(C92="","",D92-E92)</f>
      </c>
      <c r="G92" s="31">
        <f>IF(C92="","",C92-F92)</f>
      </c>
      <c r="H92" s="32">
        <f>IF(C92="","",IF(91&lt;=N('Loan Details'!$C$13),"Paid",IF(B92&lt;TODAY(),"OVERDUE",IF(B92&lt;=TODAY()+7,"DUE SOON","Upcoming"))))</f>
      </c>
    </row>
    <row r="93" spans="1:8" x14ac:dyDescent="0.25">
      <c r="A93" s="33">
        <v>92</v>
      </c>
      <c r="B93" s="34">
        <f>IF(C93="","",EDATE('Loan Details'!$C$7,92))</f>
      </c>
      <c r="C93" s="35">
        <f>IF(OR(92&gt;N('Loan Details'!$C$6),NOT(ISNUMBER('Loan Details'!$C$10)),G92=""),"",G92)</f>
      </c>
      <c r="D93" s="35">
        <f>IF(C93="","",MIN('Loan Details'!$C$10,C93+E93))</f>
      </c>
      <c r="E93" s="35">
        <f>IF(C93="","",C93*'Loan Details'!$C$5/12)</f>
      </c>
      <c r="F93" s="35">
        <f>IF(C93="","",D93-E93)</f>
      </c>
      <c r="G93" s="35">
        <f>IF(C93="","",C93-F93)</f>
      </c>
      <c r="H93" s="36">
        <f>IF(C93="","",IF(92&lt;=N('Loan Details'!$C$13),"Paid",IF(B93&lt;TODAY(),"OVERDUE",IF(B93&lt;=TODAY()+7,"DUE SOON","Upcoming"))))</f>
      </c>
    </row>
    <row r="94" spans="1:8" x14ac:dyDescent="0.25">
      <c r="A94" s="25">
        <v>93</v>
      </c>
      <c r="B94" s="30">
        <f>IF(C94="","",EDATE('Loan Details'!$C$7,93))</f>
      </c>
      <c r="C94" s="31">
        <f>IF(OR(93&gt;N('Loan Details'!$C$6),NOT(ISNUMBER('Loan Details'!$C$10)),G93=""),"",G93)</f>
      </c>
      <c r="D94" s="31">
        <f>IF(C94="","",MIN('Loan Details'!$C$10,C94+E94))</f>
      </c>
      <c r="E94" s="31">
        <f>IF(C94="","",C94*'Loan Details'!$C$5/12)</f>
      </c>
      <c r="F94" s="31">
        <f>IF(C94="","",D94-E94)</f>
      </c>
      <c r="G94" s="31">
        <f>IF(C94="","",C94-F94)</f>
      </c>
      <c r="H94" s="32">
        <f>IF(C94="","",IF(93&lt;=N('Loan Details'!$C$13),"Paid",IF(B94&lt;TODAY(),"OVERDUE",IF(B94&lt;=TODAY()+7,"DUE SOON","Upcoming"))))</f>
      </c>
    </row>
    <row r="95" spans="1:8" x14ac:dyDescent="0.25">
      <c r="A95" s="33">
        <v>94</v>
      </c>
      <c r="B95" s="34">
        <f>IF(C95="","",EDATE('Loan Details'!$C$7,94))</f>
      </c>
      <c r="C95" s="35">
        <f>IF(OR(94&gt;N('Loan Details'!$C$6),NOT(ISNUMBER('Loan Details'!$C$10)),G94=""),"",G94)</f>
      </c>
      <c r="D95" s="35">
        <f>IF(C95="","",MIN('Loan Details'!$C$10,C95+E95))</f>
      </c>
      <c r="E95" s="35">
        <f>IF(C95="","",C95*'Loan Details'!$C$5/12)</f>
      </c>
      <c r="F95" s="35">
        <f>IF(C95="","",D95-E95)</f>
      </c>
      <c r="G95" s="35">
        <f>IF(C95="","",C95-F95)</f>
      </c>
      <c r="H95" s="36">
        <f>IF(C95="","",IF(94&lt;=N('Loan Details'!$C$13),"Paid",IF(B95&lt;TODAY(),"OVERDUE",IF(B95&lt;=TODAY()+7,"DUE SOON","Upcoming"))))</f>
      </c>
    </row>
    <row r="96" spans="1:8" x14ac:dyDescent="0.25">
      <c r="A96" s="25">
        <v>95</v>
      </c>
      <c r="B96" s="30">
        <f>IF(C96="","",EDATE('Loan Details'!$C$7,95))</f>
      </c>
      <c r="C96" s="31">
        <f>IF(OR(95&gt;N('Loan Details'!$C$6),NOT(ISNUMBER('Loan Details'!$C$10)),G95=""),"",G95)</f>
      </c>
      <c r="D96" s="31">
        <f>IF(C96="","",MIN('Loan Details'!$C$10,C96+E96))</f>
      </c>
      <c r="E96" s="31">
        <f>IF(C96="","",C96*'Loan Details'!$C$5/12)</f>
      </c>
      <c r="F96" s="31">
        <f>IF(C96="","",D96-E96)</f>
      </c>
      <c r="G96" s="31">
        <f>IF(C96="","",C96-F96)</f>
      </c>
      <c r="H96" s="32">
        <f>IF(C96="","",IF(95&lt;=N('Loan Details'!$C$13),"Paid",IF(B96&lt;TODAY(),"OVERDUE",IF(B96&lt;=TODAY()+7,"DUE SOON","Upcoming"))))</f>
      </c>
    </row>
    <row r="97" spans="1:8" x14ac:dyDescent="0.25">
      <c r="A97" s="33">
        <v>96</v>
      </c>
      <c r="B97" s="34">
        <f>IF(C97="","",EDATE('Loan Details'!$C$7,96))</f>
      </c>
      <c r="C97" s="35">
        <f>IF(OR(96&gt;N('Loan Details'!$C$6),NOT(ISNUMBER('Loan Details'!$C$10)),G96=""),"",G96)</f>
      </c>
      <c r="D97" s="35">
        <f>IF(C97="","",MIN('Loan Details'!$C$10,C97+E97))</f>
      </c>
      <c r="E97" s="35">
        <f>IF(C97="","",C97*'Loan Details'!$C$5/12)</f>
      </c>
      <c r="F97" s="35">
        <f>IF(C97="","",D97-E97)</f>
      </c>
      <c r="G97" s="35">
        <f>IF(C97="","",C97-F97)</f>
      </c>
      <c r="H97" s="36">
        <f>IF(C97="","",IF(96&lt;=N('Loan Details'!$C$13),"Paid",IF(B97&lt;TODAY(),"OVERDUE",IF(B97&lt;=TODAY()+7,"DUE SOON","Upcoming"))))</f>
      </c>
    </row>
    <row r="98" spans="1:8" x14ac:dyDescent="0.25">
      <c r="A98" s="25">
        <v>97</v>
      </c>
      <c r="B98" s="30">
        <f>IF(C98="","",EDATE('Loan Details'!$C$7,97))</f>
      </c>
      <c r="C98" s="31">
        <f>IF(OR(97&gt;N('Loan Details'!$C$6),NOT(ISNUMBER('Loan Details'!$C$10)),G97=""),"",G97)</f>
      </c>
      <c r="D98" s="31">
        <f>IF(C98="","",MIN('Loan Details'!$C$10,C98+E98))</f>
      </c>
      <c r="E98" s="31">
        <f>IF(C98="","",C98*'Loan Details'!$C$5/12)</f>
      </c>
      <c r="F98" s="31">
        <f>IF(C98="","",D98-E98)</f>
      </c>
      <c r="G98" s="31">
        <f>IF(C98="","",C98-F98)</f>
      </c>
      <c r="H98" s="32">
        <f>IF(C98="","",IF(97&lt;=N('Loan Details'!$C$13),"Paid",IF(B98&lt;TODAY(),"OVERDUE",IF(B98&lt;=TODAY()+7,"DUE SOON","Upcoming"))))</f>
      </c>
    </row>
    <row r="99" spans="1:8" x14ac:dyDescent="0.25">
      <c r="A99" s="33">
        <v>98</v>
      </c>
      <c r="B99" s="34">
        <f>IF(C99="","",EDATE('Loan Details'!$C$7,98))</f>
      </c>
      <c r="C99" s="35">
        <f>IF(OR(98&gt;N('Loan Details'!$C$6),NOT(ISNUMBER('Loan Details'!$C$10)),G98=""),"",G98)</f>
      </c>
      <c r="D99" s="35">
        <f>IF(C99="","",MIN('Loan Details'!$C$10,C99+E99))</f>
      </c>
      <c r="E99" s="35">
        <f>IF(C99="","",C99*'Loan Details'!$C$5/12)</f>
      </c>
      <c r="F99" s="35">
        <f>IF(C99="","",D99-E99)</f>
      </c>
      <c r="G99" s="35">
        <f>IF(C99="","",C99-F99)</f>
      </c>
      <c r="H99" s="36">
        <f>IF(C99="","",IF(98&lt;=N('Loan Details'!$C$13),"Paid",IF(B99&lt;TODAY(),"OVERDUE",IF(B99&lt;=TODAY()+7,"DUE SOON","Upcoming"))))</f>
      </c>
    </row>
    <row r="100" spans="1:8" x14ac:dyDescent="0.25">
      <c r="A100" s="25">
        <v>99</v>
      </c>
      <c r="B100" s="30">
        <f>IF(C100="","",EDATE('Loan Details'!$C$7,99))</f>
      </c>
      <c r="C100" s="31">
        <f>IF(OR(99&gt;N('Loan Details'!$C$6),NOT(ISNUMBER('Loan Details'!$C$10)),G99=""),"",G99)</f>
      </c>
      <c r="D100" s="31">
        <f>IF(C100="","",MIN('Loan Details'!$C$10,C100+E100))</f>
      </c>
      <c r="E100" s="31">
        <f>IF(C100="","",C100*'Loan Details'!$C$5/12)</f>
      </c>
      <c r="F100" s="31">
        <f>IF(C100="","",D100-E100)</f>
      </c>
      <c r="G100" s="31">
        <f>IF(C100="","",C100-F100)</f>
      </c>
      <c r="H100" s="32">
        <f>IF(C100="","",IF(99&lt;=N('Loan Details'!$C$13),"Paid",IF(B100&lt;TODAY(),"OVERDUE",IF(B100&lt;=TODAY()+7,"DUE SOON","Upcoming"))))</f>
      </c>
    </row>
    <row r="101" spans="1:8" x14ac:dyDescent="0.25">
      <c r="A101" s="33">
        <v>100</v>
      </c>
      <c r="B101" s="34">
        <f>IF(C101="","",EDATE('Loan Details'!$C$7,100))</f>
      </c>
      <c r="C101" s="35">
        <f>IF(OR(100&gt;N('Loan Details'!$C$6),NOT(ISNUMBER('Loan Details'!$C$10)),G100=""),"",G100)</f>
      </c>
      <c r="D101" s="35">
        <f>IF(C101="","",MIN('Loan Details'!$C$10,C101+E101))</f>
      </c>
      <c r="E101" s="35">
        <f>IF(C101="","",C101*'Loan Details'!$C$5/12)</f>
      </c>
      <c r="F101" s="35">
        <f>IF(C101="","",D101-E101)</f>
      </c>
      <c r="G101" s="35">
        <f>IF(C101="","",C101-F101)</f>
      </c>
      <c r="H101" s="36">
        <f>IF(C101="","",IF(100&lt;=N('Loan Details'!$C$13),"Paid",IF(B101&lt;TODAY(),"OVERDUE",IF(B101&lt;=TODAY()+7,"DUE SOON","Upcoming"))))</f>
      </c>
    </row>
    <row r="102" spans="1:8" x14ac:dyDescent="0.25">
      <c r="A102" s="25">
        <v>101</v>
      </c>
      <c r="B102" s="30">
        <f>IF(C102="","",EDATE('Loan Details'!$C$7,101))</f>
      </c>
      <c r="C102" s="31">
        <f>IF(OR(101&gt;N('Loan Details'!$C$6),NOT(ISNUMBER('Loan Details'!$C$10)),G101=""),"",G101)</f>
      </c>
      <c r="D102" s="31">
        <f>IF(C102="","",MIN('Loan Details'!$C$10,C102+E102))</f>
      </c>
      <c r="E102" s="31">
        <f>IF(C102="","",C102*'Loan Details'!$C$5/12)</f>
      </c>
      <c r="F102" s="31">
        <f>IF(C102="","",D102-E102)</f>
      </c>
      <c r="G102" s="31">
        <f>IF(C102="","",C102-F102)</f>
      </c>
      <c r="H102" s="32">
        <f>IF(C102="","",IF(101&lt;=N('Loan Details'!$C$13),"Paid",IF(B102&lt;TODAY(),"OVERDUE",IF(B102&lt;=TODAY()+7,"DUE SOON","Upcoming"))))</f>
      </c>
    </row>
    <row r="103" spans="1:8" x14ac:dyDescent="0.25">
      <c r="A103" s="33">
        <v>102</v>
      </c>
      <c r="B103" s="34">
        <f>IF(C103="","",EDATE('Loan Details'!$C$7,102))</f>
      </c>
      <c r="C103" s="35">
        <f>IF(OR(102&gt;N('Loan Details'!$C$6),NOT(ISNUMBER('Loan Details'!$C$10)),G102=""),"",G102)</f>
      </c>
      <c r="D103" s="35">
        <f>IF(C103="","",MIN('Loan Details'!$C$10,C103+E103))</f>
      </c>
      <c r="E103" s="35">
        <f>IF(C103="","",C103*'Loan Details'!$C$5/12)</f>
      </c>
      <c r="F103" s="35">
        <f>IF(C103="","",D103-E103)</f>
      </c>
      <c r="G103" s="35">
        <f>IF(C103="","",C103-F103)</f>
      </c>
      <c r="H103" s="36">
        <f>IF(C103="","",IF(102&lt;=N('Loan Details'!$C$13),"Paid",IF(B103&lt;TODAY(),"OVERDUE",IF(B103&lt;=TODAY()+7,"DUE SOON","Upcoming"))))</f>
      </c>
    </row>
    <row r="104" spans="1:8" x14ac:dyDescent="0.25">
      <c r="A104" s="25">
        <v>103</v>
      </c>
      <c r="B104" s="30">
        <f>IF(C104="","",EDATE('Loan Details'!$C$7,103))</f>
      </c>
      <c r="C104" s="31">
        <f>IF(OR(103&gt;N('Loan Details'!$C$6),NOT(ISNUMBER('Loan Details'!$C$10)),G103=""),"",G103)</f>
      </c>
      <c r="D104" s="31">
        <f>IF(C104="","",MIN('Loan Details'!$C$10,C104+E104))</f>
      </c>
      <c r="E104" s="31">
        <f>IF(C104="","",C104*'Loan Details'!$C$5/12)</f>
      </c>
      <c r="F104" s="31">
        <f>IF(C104="","",D104-E104)</f>
      </c>
      <c r="G104" s="31">
        <f>IF(C104="","",C104-F104)</f>
      </c>
      <c r="H104" s="32">
        <f>IF(C104="","",IF(103&lt;=N('Loan Details'!$C$13),"Paid",IF(B104&lt;TODAY(),"OVERDUE",IF(B104&lt;=TODAY()+7,"DUE SOON","Upcoming"))))</f>
      </c>
    </row>
    <row r="105" spans="1:8" x14ac:dyDescent="0.25">
      <c r="A105" s="33">
        <v>104</v>
      </c>
      <c r="B105" s="34">
        <f>IF(C105="","",EDATE('Loan Details'!$C$7,104))</f>
      </c>
      <c r="C105" s="35">
        <f>IF(OR(104&gt;N('Loan Details'!$C$6),NOT(ISNUMBER('Loan Details'!$C$10)),G104=""),"",G104)</f>
      </c>
      <c r="D105" s="35">
        <f>IF(C105="","",MIN('Loan Details'!$C$10,C105+E105))</f>
      </c>
      <c r="E105" s="35">
        <f>IF(C105="","",C105*'Loan Details'!$C$5/12)</f>
      </c>
      <c r="F105" s="35">
        <f>IF(C105="","",D105-E105)</f>
      </c>
      <c r="G105" s="35">
        <f>IF(C105="","",C105-F105)</f>
      </c>
      <c r="H105" s="36">
        <f>IF(C105="","",IF(104&lt;=N('Loan Details'!$C$13),"Paid",IF(B105&lt;TODAY(),"OVERDUE",IF(B105&lt;=TODAY()+7,"DUE SOON","Upcoming"))))</f>
      </c>
    </row>
    <row r="106" spans="1:8" x14ac:dyDescent="0.25">
      <c r="A106" s="25">
        <v>105</v>
      </c>
      <c r="B106" s="30">
        <f>IF(C106="","",EDATE('Loan Details'!$C$7,105))</f>
      </c>
      <c r="C106" s="31">
        <f>IF(OR(105&gt;N('Loan Details'!$C$6),NOT(ISNUMBER('Loan Details'!$C$10)),G105=""),"",G105)</f>
      </c>
      <c r="D106" s="31">
        <f>IF(C106="","",MIN('Loan Details'!$C$10,C106+E106))</f>
      </c>
      <c r="E106" s="31">
        <f>IF(C106="","",C106*'Loan Details'!$C$5/12)</f>
      </c>
      <c r="F106" s="31">
        <f>IF(C106="","",D106-E106)</f>
      </c>
      <c r="G106" s="31">
        <f>IF(C106="","",C106-F106)</f>
      </c>
      <c r="H106" s="32">
        <f>IF(C106="","",IF(105&lt;=N('Loan Details'!$C$13),"Paid",IF(B106&lt;TODAY(),"OVERDUE",IF(B106&lt;=TODAY()+7,"DUE SOON","Upcoming"))))</f>
      </c>
    </row>
    <row r="107" spans="1:8" x14ac:dyDescent="0.25">
      <c r="A107" s="33">
        <v>106</v>
      </c>
      <c r="B107" s="34">
        <f>IF(C107="","",EDATE('Loan Details'!$C$7,106))</f>
      </c>
      <c r="C107" s="35">
        <f>IF(OR(106&gt;N('Loan Details'!$C$6),NOT(ISNUMBER('Loan Details'!$C$10)),G106=""),"",G106)</f>
      </c>
      <c r="D107" s="35">
        <f>IF(C107="","",MIN('Loan Details'!$C$10,C107+E107))</f>
      </c>
      <c r="E107" s="35">
        <f>IF(C107="","",C107*'Loan Details'!$C$5/12)</f>
      </c>
      <c r="F107" s="35">
        <f>IF(C107="","",D107-E107)</f>
      </c>
      <c r="G107" s="35">
        <f>IF(C107="","",C107-F107)</f>
      </c>
      <c r="H107" s="36">
        <f>IF(C107="","",IF(106&lt;=N('Loan Details'!$C$13),"Paid",IF(B107&lt;TODAY(),"OVERDUE",IF(B107&lt;=TODAY()+7,"DUE SOON","Upcoming"))))</f>
      </c>
    </row>
    <row r="108" spans="1:8" x14ac:dyDescent="0.25">
      <c r="A108" s="25">
        <v>107</v>
      </c>
      <c r="B108" s="30">
        <f>IF(C108="","",EDATE('Loan Details'!$C$7,107))</f>
      </c>
      <c r="C108" s="31">
        <f>IF(OR(107&gt;N('Loan Details'!$C$6),NOT(ISNUMBER('Loan Details'!$C$10)),G107=""),"",G107)</f>
      </c>
      <c r="D108" s="31">
        <f>IF(C108="","",MIN('Loan Details'!$C$10,C108+E108))</f>
      </c>
      <c r="E108" s="31">
        <f>IF(C108="","",C108*'Loan Details'!$C$5/12)</f>
      </c>
      <c r="F108" s="31">
        <f>IF(C108="","",D108-E108)</f>
      </c>
      <c r="G108" s="31">
        <f>IF(C108="","",C108-F108)</f>
      </c>
      <c r="H108" s="32">
        <f>IF(C108="","",IF(107&lt;=N('Loan Details'!$C$13),"Paid",IF(B108&lt;TODAY(),"OVERDUE",IF(B108&lt;=TODAY()+7,"DUE SOON","Upcoming"))))</f>
      </c>
    </row>
    <row r="109" spans="1:8" x14ac:dyDescent="0.25">
      <c r="A109" s="33">
        <v>108</v>
      </c>
      <c r="B109" s="34">
        <f>IF(C109="","",EDATE('Loan Details'!$C$7,108))</f>
      </c>
      <c r="C109" s="35">
        <f>IF(OR(108&gt;N('Loan Details'!$C$6),NOT(ISNUMBER('Loan Details'!$C$10)),G108=""),"",G108)</f>
      </c>
      <c r="D109" s="35">
        <f>IF(C109="","",MIN('Loan Details'!$C$10,C109+E109))</f>
      </c>
      <c r="E109" s="35">
        <f>IF(C109="","",C109*'Loan Details'!$C$5/12)</f>
      </c>
      <c r="F109" s="35">
        <f>IF(C109="","",D109-E109)</f>
      </c>
      <c r="G109" s="35">
        <f>IF(C109="","",C109-F109)</f>
      </c>
      <c r="H109" s="36">
        <f>IF(C109="","",IF(108&lt;=N('Loan Details'!$C$13),"Paid",IF(B109&lt;TODAY(),"OVERDUE",IF(B109&lt;=TODAY()+7,"DUE SOON","Upcoming"))))</f>
      </c>
    </row>
    <row r="110" spans="1:8" x14ac:dyDescent="0.25">
      <c r="A110" s="25">
        <v>109</v>
      </c>
      <c r="B110" s="30">
        <f>IF(C110="","",EDATE('Loan Details'!$C$7,109))</f>
      </c>
      <c r="C110" s="31">
        <f>IF(OR(109&gt;N('Loan Details'!$C$6),NOT(ISNUMBER('Loan Details'!$C$10)),G109=""),"",G109)</f>
      </c>
      <c r="D110" s="31">
        <f>IF(C110="","",MIN('Loan Details'!$C$10,C110+E110))</f>
      </c>
      <c r="E110" s="31">
        <f>IF(C110="","",C110*'Loan Details'!$C$5/12)</f>
      </c>
      <c r="F110" s="31">
        <f>IF(C110="","",D110-E110)</f>
      </c>
      <c r="G110" s="31">
        <f>IF(C110="","",C110-F110)</f>
      </c>
      <c r="H110" s="32">
        <f>IF(C110="","",IF(109&lt;=N('Loan Details'!$C$13),"Paid",IF(B110&lt;TODAY(),"OVERDUE",IF(B110&lt;=TODAY()+7,"DUE SOON","Upcoming"))))</f>
      </c>
    </row>
    <row r="111" spans="1:8" x14ac:dyDescent="0.25">
      <c r="A111" s="33">
        <v>110</v>
      </c>
      <c r="B111" s="34">
        <f>IF(C111="","",EDATE('Loan Details'!$C$7,110))</f>
      </c>
      <c r="C111" s="35">
        <f>IF(OR(110&gt;N('Loan Details'!$C$6),NOT(ISNUMBER('Loan Details'!$C$10)),G110=""),"",G110)</f>
      </c>
      <c r="D111" s="35">
        <f>IF(C111="","",MIN('Loan Details'!$C$10,C111+E111))</f>
      </c>
      <c r="E111" s="35">
        <f>IF(C111="","",C111*'Loan Details'!$C$5/12)</f>
      </c>
      <c r="F111" s="35">
        <f>IF(C111="","",D111-E111)</f>
      </c>
      <c r="G111" s="35">
        <f>IF(C111="","",C111-F111)</f>
      </c>
      <c r="H111" s="36">
        <f>IF(C111="","",IF(110&lt;=N('Loan Details'!$C$13),"Paid",IF(B111&lt;TODAY(),"OVERDUE",IF(B111&lt;=TODAY()+7,"DUE SOON","Upcoming"))))</f>
      </c>
    </row>
    <row r="112" spans="1:8" x14ac:dyDescent="0.25">
      <c r="A112" s="25">
        <v>111</v>
      </c>
      <c r="B112" s="30">
        <f>IF(C112="","",EDATE('Loan Details'!$C$7,111))</f>
      </c>
      <c r="C112" s="31">
        <f>IF(OR(111&gt;N('Loan Details'!$C$6),NOT(ISNUMBER('Loan Details'!$C$10)),G111=""),"",G111)</f>
      </c>
      <c r="D112" s="31">
        <f>IF(C112="","",MIN('Loan Details'!$C$10,C112+E112))</f>
      </c>
      <c r="E112" s="31">
        <f>IF(C112="","",C112*'Loan Details'!$C$5/12)</f>
      </c>
      <c r="F112" s="31">
        <f>IF(C112="","",D112-E112)</f>
      </c>
      <c r="G112" s="31">
        <f>IF(C112="","",C112-F112)</f>
      </c>
      <c r="H112" s="32">
        <f>IF(C112="","",IF(111&lt;=N('Loan Details'!$C$13),"Paid",IF(B112&lt;TODAY(),"OVERDUE",IF(B112&lt;=TODAY()+7,"DUE SOON","Upcoming"))))</f>
      </c>
    </row>
    <row r="113" spans="1:8" x14ac:dyDescent="0.25">
      <c r="A113" s="33">
        <v>112</v>
      </c>
      <c r="B113" s="34">
        <f>IF(C113="","",EDATE('Loan Details'!$C$7,112))</f>
      </c>
      <c r="C113" s="35">
        <f>IF(OR(112&gt;N('Loan Details'!$C$6),NOT(ISNUMBER('Loan Details'!$C$10)),G112=""),"",G112)</f>
      </c>
      <c r="D113" s="35">
        <f>IF(C113="","",MIN('Loan Details'!$C$10,C113+E113))</f>
      </c>
      <c r="E113" s="35">
        <f>IF(C113="","",C113*'Loan Details'!$C$5/12)</f>
      </c>
      <c r="F113" s="35">
        <f>IF(C113="","",D113-E113)</f>
      </c>
      <c r="G113" s="35">
        <f>IF(C113="","",C113-F113)</f>
      </c>
      <c r="H113" s="36">
        <f>IF(C113="","",IF(112&lt;=N('Loan Details'!$C$13),"Paid",IF(B113&lt;TODAY(),"OVERDUE",IF(B113&lt;=TODAY()+7,"DUE SOON","Upcoming"))))</f>
      </c>
    </row>
    <row r="114" spans="1:8" x14ac:dyDescent="0.25">
      <c r="A114" s="25">
        <v>113</v>
      </c>
      <c r="B114" s="30">
        <f>IF(C114="","",EDATE('Loan Details'!$C$7,113))</f>
      </c>
      <c r="C114" s="31">
        <f>IF(OR(113&gt;N('Loan Details'!$C$6),NOT(ISNUMBER('Loan Details'!$C$10)),G113=""),"",G113)</f>
      </c>
      <c r="D114" s="31">
        <f>IF(C114="","",MIN('Loan Details'!$C$10,C114+E114))</f>
      </c>
      <c r="E114" s="31">
        <f>IF(C114="","",C114*'Loan Details'!$C$5/12)</f>
      </c>
      <c r="F114" s="31">
        <f>IF(C114="","",D114-E114)</f>
      </c>
      <c r="G114" s="31">
        <f>IF(C114="","",C114-F114)</f>
      </c>
      <c r="H114" s="32">
        <f>IF(C114="","",IF(113&lt;=N('Loan Details'!$C$13),"Paid",IF(B114&lt;TODAY(),"OVERDUE",IF(B114&lt;=TODAY()+7,"DUE SOON","Upcoming"))))</f>
      </c>
    </row>
    <row r="115" spans="1:8" x14ac:dyDescent="0.25">
      <c r="A115" s="33">
        <v>114</v>
      </c>
      <c r="B115" s="34">
        <f>IF(C115="","",EDATE('Loan Details'!$C$7,114))</f>
      </c>
      <c r="C115" s="35">
        <f>IF(OR(114&gt;N('Loan Details'!$C$6),NOT(ISNUMBER('Loan Details'!$C$10)),G114=""),"",G114)</f>
      </c>
      <c r="D115" s="35">
        <f>IF(C115="","",MIN('Loan Details'!$C$10,C115+E115))</f>
      </c>
      <c r="E115" s="35">
        <f>IF(C115="","",C115*'Loan Details'!$C$5/12)</f>
      </c>
      <c r="F115" s="35">
        <f>IF(C115="","",D115-E115)</f>
      </c>
      <c r="G115" s="35">
        <f>IF(C115="","",C115-F115)</f>
      </c>
      <c r="H115" s="36">
        <f>IF(C115="","",IF(114&lt;=N('Loan Details'!$C$13),"Paid",IF(B115&lt;TODAY(),"OVERDUE",IF(B115&lt;=TODAY()+7,"DUE SOON","Upcoming"))))</f>
      </c>
    </row>
    <row r="116" spans="1:8" x14ac:dyDescent="0.25">
      <c r="A116" s="25">
        <v>115</v>
      </c>
      <c r="B116" s="30">
        <f>IF(C116="","",EDATE('Loan Details'!$C$7,115))</f>
      </c>
      <c r="C116" s="31">
        <f>IF(OR(115&gt;N('Loan Details'!$C$6),NOT(ISNUMBER('Loan Details'!$C$10)),G115=""),"",G115)</f>
      </c>
      <c r="D116" s="31">
        <f>IF(C116="","",MIN('Loan Details'!$C$10,C116+E116))</f>
      </c>
      <c r="E116" s="31">
        <f>IF(C116="","",C116*'Loan Details'!$C$5/12)</f>
      </c>
      <c r="F116" s="31">
        <f>IF(C116="","",D116-E116)</f>
      </c>
      <c r="G116" s="31">
        <f>IF(C116="","",C116-F116)</f>
      </c>
      <c r="H116" s="32">
        <f>IF(C116="","",IF(115&lt;=N('Loan Details'!$C$13),"Paid",IF(B116&lt;TODAY(),"OVERDUE",IF(B116&lt;=TODAY()+7,"DUE SOON","Upcoming"))))</f>
      </c>
    </row>
    <row r="117" spans="1:8" x14ac:dyDescent="0.25">
      <c r="A117" s="33">
        <v>116</v>
      </c>
      <c r="B117" s="34">
        <f>IF(C117="","",EDATE('Loan Details'!$C$7,116))</f>
      </c>
      <c r="C117" s="35">
        <f>IF(OR(116&gt;N('Loan Details'!$C$6),NOT(ISNUMBER('Loan Details'!$C$10)),G116=""),"",G116)</f>
      </c>
      <c r="D117" s="35">
        <f>IF(C117="","",MIN('Loan Details'!$C$10,C117+E117))</f>
      </c>
      <c r="E117" s="35">
        <f>IF(C117="","",C117*'Loan Details'!$C$5/12)</f>
      </c>
      <c r="F117" s="35">
        <f>IF(C117="","",D117-E117)</f>
      </c>
      <c r="G117" s="35">
        <f>IF(C117="","",C117-F117)</f>
      </c>
      <c r="H117" s="36">
        <f>IF(C117="","",IF(116&lt;=N('Loan Details'!$C$13),"Paid",IF(B117&lt;TODAY(),"OVERDUE",IF(B117&lt;=TODAY()+7,"DUE SOON","Upcoming"))))</f>
      </c>
    </row>
    <row r="118" spans="1:8" x14ac:dyDescent="0.25">
      <c r="A118" s="25">
        <v>117</v>
      </c>
      <c r="B118" s="30">
        <f>IF(C118="","",EDATE('Loan Details'!$C$7,117))</f>
      </c>
      <c r="C118" s="31">
        <f>IF(OR(117&gt;N('Loan Details'!$C$6),NOT(ISNUMBER('Loan Details'!$C$10)),G117=""),"",G117)</f>
      </c>
      <c r="D118" s="31">
        <f>IF(C118="","",MIN('Loan Details'!$C$10,C118+E118))</f>
      </c>
      <c r="E118" s="31">
        <f>IF(C118="","",C118*'Loan Details'!$C$5/12)</f>
      </c>
      <c r="F118" s="31">
        <f>IF(C118="","",D118-E118)</f>
      </c>
      <c r="G118" s="31">
        <f>IF(C118="","",C118-F118)</f>
      </c>
      <c r="H118" s="32">
        <f>IF(C118="","",IF(117&lt;=N('Loan Details'!$C$13),"Paid",IF(B118&lt;TODAY(),"OVERDUE",IF(B118&lt;=TODAY()+7,"DUE SOON","Upcoming"))))</f>
      </c>
    </row>
    <row r="119" spans="1:8" x14ac:dyDescent="0.25">
      <c r="A119" s="33">
        <v>118</v>
      </c>
      <c r="B119" s="34">
        <f>IF(C119="","",EDATE('Loan Details'!$C$7,118))</f>
      </c>
      <c r="C119" s="35">
        <f>IF(OR(118&gt;N('Loan Details'!$C$6),NOT(ISNUMBER('Loan Details'!$C$10)),G118=""),"",G118)</f>
      </c>
      <c r="D119" s="35">
        <f>IF(C119="","",MIN('Loan Details'!$C$10,C119+E119))</f>
      </c>
      <c r="E119" s="35">
        <f>IF(C119="","",C119*'Loan Details'!$C$5/12)</f>
      </c>
      <c r="F119" s="35">
        <f>IF(C119="","",D119-E119)</f>
      </c>
      <c r="G119" s="35">
        <f>IF(C119="","",C119-F119)</f>
      </c>
      <c r="H119" s="36">
        <f>IF(C119="","",IF(118&lt;=N('Loan Details'!$C$13),"Paid",IF(B119&lt;TODAY(),"OVERDUE",IF(B119&lt;=TODAY()+7,"DUE SOON","Upcoming"))))</f>
      </c>
    </row>
    <row r="120" spans="1:8" x14ac:dyDescent="0.25">
      <c r="A120" s="25">
        <v>119</v>
      </c>
      <c r="B120" s="30">
        <f>IF(C120="","",EDATE('Loan Details'!$C$7,119))</f>
      </c>
      <c r="C120" s="31">
        <f>IF(OR(119&gt;N('Loan Details'!$C$6),NOT(ISNUMBER('Loan Details'!$C$10)),G119=""),"",G119)</f>
      </c>
      <c r="D120" s="31">
        <f>IF(C120="","",MIN('Loan Details'!$C$10,C120+E120))</f>
      </c>
      <c r="E120" s="31">
        <f>IF(C120="","",C120*'Loan Details'!$C$5/12)</f>
      </c>
      <c r="F120" s="31">
        <f>IF(C120="","",D120-E120)</f>
      </c>
      <c r="G120" s="31">
        <f>IF(C120="","",C120-F120)</f>
      </c>
      <c r="H120" s="32">
        <f>IF(C120="","",IF(119&lt;=N('Loan Details'!$C$13),"Paid",IF(B120&lt;TODAY(),"OVERDUE",IF(B120&lt;=TODAY()+7,"DUE SOON","Upcoming"))))</f>
      </c>
    </row>
    <row r="121" spans="1:8" x14ac:dyDescent="0.25">
      <c r="A121" s="33">
        <v>120</v>
      </c>
      <c r="B121" s="34">
        <f>IF(C121="","",EDATE('Loan Details'!$C$7,120))</f>
      </c>
      <c r="C121" s="35">
        <f>IF(OR(120&gt;N('Loan Details'!$C$6),NOT(ISNUMBER('Loan Details'!$C$10)),G120=""),"",G120)</f>
      </c>
      <c r="D121" s="35">
        <f>IF(C121="","",MIN('Loan Details'!$C$10,C121+E121))</f>
      </c>
      <c r="E121" s="35">
        <f>IF(C121="","",C121*'Loan Details'!$C$5/12)</f>
      </c>
      <c r="F121" s="35">
        <f>IF(C121="","",D121-E121)</f>
      </c>
      <c r="G121" s="35">
        <f>IF(C121="","",C121-F121)</f>
      </c>
      <c r="H121" s="36">
        <f>IF(C121="","",IF(120&lt;=N('Loan Details'!$C$13),"Paid",IF(B121&lt;TODAY(),"OVERDUE",IF(B121&lt;=TODAY()+7,"DUE SOON","Upcoming"))))</f>
      </c>
    </row>
  </sheetData>
  <sheetProtection sheet="1" formatColumns="0" formatRows="0" sort="0" autoFilter="0"/>
  <conditionalFormatting sqref="H2:H121">
    <cfRule type="containsText" dxfId="0" priority="1">
      <formula>NOT(ISERROR(SEARCH("OVERDUE",H2)))</formula>
    </cfRule>
    <cfRule type="containsText" dxfId="1" priority="2">
      <formula>NOT(ISERROR(SEARCH("DUE SOON",H2)))</formula>
    </cfRule>
    <cfRule type="containsText" dxfId="2" priority="3">
      <formula>NOT(ISERROR(SEARCH("Paid",H2)))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43660"/>
  </sheetPr>
  <dimension ref="A1:D82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5" customWidth="1"/>
    <col min="2" max="3" width="16" customWidth="1"/>
    <col min="4" max="4" width="34" customWidth="1"/>
  </cols>
  <sheetData>
    <row r="1" ht="26" customHeight="1" spans="1:4" x14ac:dyDescent="0.25">
      <c r="A1" s="29" t="s">
        <v>39</v>
      </c>
      <c r="B1" s="29" t="s">
        <v>40</v>
      </c>
      <c r="C1" s="29" t="s">
        <v>41</v>
      </c>
      <c r="D1" s="29" t="s">
        <v>42</v>
      </c>
    </row>
    <row r="2" spans="1:4" x14ac:dyDescent="0.25">
      <c r="A2" s="19"/>
      <c r="B2" s="16"/>
      <c r="C2" s="37"/>
      <c r="D2" s="37"/>
    </row>
    <row r="3" spans="1:4" x14ac:dyDescent="0.25">
      <c r="A3" s="19"/>
      <c r="B3" s="16"/>
      <c r="C3" s="37"/>
      <c r="D3" s="37"/>
    </row>
    <row r="4" spans="1:4" x14ac:dyDescent="0.25">
      <c r="A4" s="19"/>
      <c r="B4" s="16"/>
      <c r="C4" s="37"/>
      <c r="D4" s="37"/>
    </row>
    <row r="5" spans="1:4" x14ac:dyDescent="0.25">
      <c r="A5" s="19"/>
      <c r="B5" s="16"/>
      <c r="C5" s="37"/>
      <c r="D5" s="37"/>
    </row>
    <row r="6" spans="1:4" x14ac:dyDescent="0.25">
      <c r="A6" s="19"/>
      <c r="B6" s="16"/>
      <c r="C6" s="37"/>
      <c r="D6" s="37"/>
    </row>
    <row r="7" spans="1:4" x14ac:dyDescent="0.25">
      <c r="A7" s="19"/>
      <c r="B7" s="16"/>
      <c r="C7" s="37"/>
      <c r="D7" s="37"/>
    </row>
    <row r="8" spans="1:4" x14ac:dyDescent="0.25">
      <c r="A8" s="19"/>
      <c r="B8" s="16"/>
      <c r="C8" s="37"/>
      <c r="D8" s="37"/>
    </row>
    <row r="9" spans="1:4" x14ac:dyDescent="0.25">
      <c r="A9" s="19"/>
      <c r="B9" s="16"/>
      <c r="C9" s="37"/>
      <c r="D9" s="37"/>
    </row>
    <row r="10" spans="1:4" x14ac:dyDescent="0.25">
      <c r="A10" s="19"/>
      <c r="B10" s="16"/>
      <c r="C10" s="37"/>
      <c r="D10" s="37"/>
    </row>
    <row r="11" spans="1:4" x14ac:dyDescent="0.25">
      <c r="A11" s="19"/>
      <c r="B11" s="16"/>
      <c r="C11" s="37"/>
      <c r="D11" s="37"/>
    </row>
    <row r="12" spans="1:4" x14ac:dyDescent="0.25">
      <c r="A12" s="19"/>
      <c r="B12" s="16"/>
      <c r="C12" s="37"/>
      <c r="D12" s="37"/>
    </row>
    <row r="13" spans="1:4" x14ac:dyDescent="0.25">
      <c r="A13" s="19"/>
      <c r="B13" s="16"/>
      <c r="C13" s="37"/>
      <c r="D13" s="37"/>
    </row>
    <row r="14" spans="1:4" x14ac:dyDescent="0.25">
      <c r="A14" s="19"/>
      <c r="B14" s="16"/>
      <c r="C14" s="37"/>
      <c r="D14" s="37"/>
    </row>
    <row r="15" spans="1:4" x14ac:dyDescent="0.25">
      <c r="A15" s="19"/>
      <c r="B15" s="16"/>
      <c r="C15" s="37"/>
      <c r="D15" s="37"/>
    </row>
    <row r="16" spans="1:4" x14ac:dyDescent="0.25">
      <c r="A16" s="19"/>
      <c r="B16" s="16"/>
      <c r="C16" s="37"/>
      <c r="D16" s="37"/>
    </row>
    <row r="17" spans="1:4" x14ac:dyDescent="0.25">
      <c r="A17" s="19"/>
      <c r="B17" s="16"/>
      <c r="C17" s="37"/>
      <c r="D17" s="37"/>
    </row>
    <row r="18" spans="1:4" x14ac:dyDescent="0.25">
      <c r="A18" s="19"/>
      <c r="B18" s="16"/>
      <c r="C18" s="37"/>
      <c r="D18" s="37"/>
    </row>
    <row r="19" spans="1:4" x14ac:dyDescent="0.25">
      <c r="A19" s="19"/>
      <c r="B19" s="16"/>
      <c r="C19" s="37"/>
      <c r="D19" s="37"/>
    </row>
    <row r="20" spans="1:4" x14ac:dyDescent="0.25">
      <c r="A20" s="19"/>
      <c r="B20" s="16"/>
      <c r="C20" s="37"/>
      <c r="D20" s="37"/>
    </row>
    <row r="21" spans="1:4" x14ac:dyDescent="0.25">
      <c r="A21" s="19"/>
      <c r="B21" s="16"/>
      <c r="C21" s="37"/>
      <c r="D21" s="37"/>
    </row>
    <row r="22" spans="1:4" x14ac:dyDescent="0.25">
      <c r="A22" s="19"/>
      <c r="B22" s="16"/>
      <c r="C22" s="37"/>
      <c r="D22" s="37"/>
    </row>
    <row r="23" spans="1:4" x14ac:dyDescent="0.25">
      <c r="A23" s="19"/>
      <c r="B23" s="16"/>
      <c r="C23" s="37"/>
      <c r="D23" s="37"/>
    </row>
    <row r="24" spans="1:4" x14ac:dyDescent="0.25">
      <c r="A24" s="19"/>
      <c r="B24" s="16"/>
      <c r="C24" s="37"/>
      <c r="D24" s="37"/>
    </row>
    <row r="25" spans="1:4" x14ac:dyDescent="0.25">
      <c r="A25" s="19"/>
      <c r="B25" s="16"/>
      <c r="C25" s="37"/>
      <c r="D25" s="37"/>
    </row>
    <row r="26" spans="1:4" x14ac:dyDescent="0.25">
      <c r="A26" s="19"/>
      <c r="B26" s="16"/>
      <c r="C26" s="37"/>
      <c r="D26" s="37"/>
    </row>
    <row r="27" spans="1:4" x14ac:dyDescent="0.25">
      <c r="A27" s="19"/>
      <c r="B27" s="16"/>
      <c r="C27" s="37"/>
      <c r="D27" s="37"/>
    </row>
    <row r="28" spans="1:4" x14ac:dyDescent="0.25">
      <c r="A28" s="19"/>
      <c r="B28" s="16"/>
      <c r="C28" s="37"/>
      <c r="D28" s="37"/>
    </row>
    <row r="29" spans="1:4" x14ac:dyDescent="0.25">
      <c r="A29" s="19"/>
      <c r="B29" s="16"/>
      <c r="C29" s="37"/>
      <c r="D29" s="37"/>
    </row>
    <row r="30" spans="1:4" x14ac:dyDescent="0.25">
      <c r="A30" s="19"/>
      <c r="B30" s="16"/>
      <c r="C30" s="37"/>
      <c r="D30" s="37"/>
    </row>
    <row r="31" spans="1:4" x14ac:dyDescent="0.25">
      <c r="A31" s="19"/>
      <c r="B31" s="16"/>
      <c r="C31" s="37"/>
      <c r="D31" s="37"/>
    </row>
    <row r="32" spans="1:4" x14ac:dyDescent="0.25">
      <c r="A32" s="19"/>
      <c r="B32" s="16"/>
      <c r="C32" s="37"/>
      <c r="D32" s="37"/>
    </row>
    <row r="33" spans="1:4" x14ac:dyDescent="0.25">
      <c r="A33" s="19"/>
      <c r="B33" s="16"/>
      <c r="C33" s="37"/>
      <c r="D33" s="37"/>
    </row>
    <row r="34" spans="1:4" x14ac:dyDescent="0.25">
      <c r="A34" s="19"/>
      <c r="B34" s="16"/>
      <c r="C34" s="37"/>
      <c r="D34" s="37"/>
    </row>
    <row r="35" spans="1:4" x14ac:dyDescent="0.25">
      <c r="A35" s="19"/>
      <c r="B35" s="16"/>
      <c r="C35" s="37"/>
      <c r="D35" s="37"/>
    </row>
    <row r="36" spans="1:4" x14ac:dyDescent="0.25">
      <c r="A36" s="19"/>
      <c r="B36" s="16"/>
      <c r="C36" s="37"/>
      <c r="D36" s="37"/>
    </row>
    <row r="37" spans="1:4" x14ac:dyDescent="0.25">
      <c r="A37" s="19"/>
      <c r="B37" s="16"/>
      <c r="C37" s="37"/>
      <c r="D37" s="37"/>
    </row>
    <row r="38" spans="1:4" x14ac:dyDescent="0.25">
      <c r="A38" s="19"/>
      <c r="B38" s="16"/>
      <c r="C38" s="37"/>
      <c r="D38" s="37"/>
    </row>
    <row r="39" spans="1:4" x14ac:dyDescent="0.25">
      <c r="A39" s="19"/>
      <c r="B39" s="16"/>
      <c r="C39" s="37"/>
      <c r="D39" s="37"/>
    </row>
    <row r="40" spans="1:4" x14ac:dyDescent="0.25">
      <c r="A40" s="19"/>
      <c r="B40" s="16"/>
      <c r="C40" s="37"/>
      <c r="D40" s="37"/>
    </row>
    <row r="41" spans="1:4" x14ac:dyDescent="0.25">
      <c r="A41" s="19"/>
      <c r="B41" s="16"/>
      <c r="C41" s="37"/>
      <c r="D41" s="37"/>
    </row>
    <row r="42" spans="1:4" x14ac:dyDescent="0.25">
      <c r="A42" s="19"/>
      <c r="B42" s="16"/>
      <c r="C42" s="37"/>
      <c r="D42" s="37"/>
    </row>
    <row r="43" spans="1:4" x14ac:dyDescent="0.25">
      <c r="A43" s="19"/>
      <c r="B43" s="16"/>
      <c r="C43" s="37"/>
      <c r="D43" s="37"/>
    </row>
    <row r="44" spans="1:4" x14ac:dyDescent="0.25">
      <c r="A44" s="19"/>
      <c r="B44" s="16"/>
      <c r="C44" s="37"/>
      <c r="D44" s="37"/>
    </row>
    <row r="45" spans="1:4" x14ac:dyDescent="0.25">
      <c r="A45" s="19"/>
      <c r="B45" s="16"/>
      <c r="C45" s="37"/>
      <c r="D45" s="37"/>
    </row>
    <row r="46" spans="1:4" x14ac:dyDescent="0.25">
      <c r="A46" s="19"/>
      <c r="B46" s="16"/>
      <c r="C46" s="37"/>
      <c r="D46" s="37"/>
    </row>
    <row r="47" spans="1:4" x14ac:dyDescent="0.25">
      <c r="A47" s="19"/>
      <c r="B47" s="16"/>
      <c r="C47" s="37"/>
      <c r="D47" s="37"/>
    </row>
    <row r="48" spans="1:4" x14ac:dyDescent="0.25">
      <c r="A48" s="19"/>
      <c r="B48" s="16"/>
      <c r="C48" s="37"/>
      <c r="D48" s="37"/>
    </row>
    <row r="49" spans="1:4" x14ac:dyDescent="0.25">
      <c r="A49" s="19"/>
      <c r="B49" s="16"/>
      <c r="C49" s="37"/>
      <c r="D49" s="37"/>
    </row>
    <row r="50" spans="1:4" x14ac:dyDescent="0.25">
      <c r="A50" s="19"/>
      <c r="B50" s="16"/>
      <c r="C50" s="37"/>
      <c r="D50" s="37"/>
    </row>
    <row r="51" spans="1:4" x14ac:dyDescent="0.25">
      <c r="A51" s="19"/>
      <c r="B51" s="16"/>
      <c r="C51" s="37"/>
      <c r="D51" s="37"/>
    </row>
    <row r="52" spans="1:4" x14ac:dyDescent="0.25">
      <c r="A52" s="19"/>
      <c r="B52" s="16"/>
      <c r="C52" s="37"/>
      <c r="D52" s="37"/>
    </row>
    <row r="53" spans="1:4" x14ac:dyDescent="0.25">
      <c r="A53" s="19"/>
      <c r="B53" s="16"/>
      <c r="C53" s="37"/>
      <c r="D53" s="37"/>
    </row>
    <row r="54" spans="1:4" x14ac:dyDescent="0.25">
      <c r="A54" s="19"/>
      <c r="B54" s="16"/>
      <c r="C54" s="37"/>
      <c r="D54" s="37"/>
    </row>
    <row r="55" spans="1:4" x14ac:dyDescent="0.25">
      <c r="A55" s="19"/>
      <c r="B55" s="16"/>
      <c r="C55" s="37"/>
      <c r="D55" s="37"/>
    </row>
    <row r="56" spans="1:4" x14ac:dyDescent="0.25">
      <c r="A56" s="19"/>
      <c r="B56" s="16"/>
      <c r="C56" s="37"/>
      <c r="D56" s="37"/>
    </row>
    <row r="57" spans="1:4" x14ac:dyDescent="0.25">
      <c r="A57" s="19"/>
      <c r="B57" s="16"/>
      <c r="C57" s="37"/>
      <c r="D57" s="37"/>
    </row>
    <row r="58" spans="1:4" x14ac:dyDescent="0.25">
      <c r="A58" s="19"/>
      <c r="B58" s="16"/>
      <c r="C58" s="37"/>
      <c r="D58" s="37"/>
    </row>
    <row r="59" spans="1:4" x14ac:dyDescent="0.25">
      <c r="A59" s="19"/>
      <c r="B59" s="16"/>
      <c r="C59" s="37"/>
      <c r="D59" s="37"/>
    </row>
    <row r="60" spans="1:4" x14ac:dyDescent="0.25">
      <c r="A60" s="19"/>
      <c r="B60" s="16"/>
      <c r="C60" s="37"/>
      <c r="D60" s="37"/>
    </row>
    <row r="61" spans="1:4" x14ac:dyDescent="0.25">
      <c r="A61" s="19"/>
      <c r="B61" s="16"/>
      <c r="C61" s="37"/>
      <c r="D61" s="37"/>
    </row>
    <row r="62" spans="1:4" x14ac:dyDescent="0.25">
      <c r="A62" s="19"/>
      <c r="B62" s="16"/>
      <c r="C62" s="37"/>
      <c r="D62" s="37"/>
    </row>
    <row r="63" spans="1:4" x14ac:dyDescent="0.25">
      <c r="A63" s="19"/>
      <c r="B63" s="16"/>
      <c r="C63" s="37"/>
      <c r="D63" s="37"/>
    </row>
    <row r="64" spans="1:4" x14ac:dyDescent="0.25">
      <c r="A64" s="19"/>
      <c r="B64" s="16"/>
      <c r="C64" s="37"/>
      <c r="D64" s="37"/>
    </row>
    <row r="65" spans="1:4" x14ac:dyDescent="0.25">
      <c r="A65" s="19"/>
      <c r="B65" s="16"/>
      <c r="C65" s="37"/>
      <c r="D65" s="37"/>
    </row>
    <row r="66" spans="1:4" x14ac:dyDescent="0.25">
      <c r="A66" s="19"/>
      <c r="B66" s="16"/>
      <c r="C66" s="37"/>
      <c r="D66" s="37"/>
    </row>
    <row r="67" spans="1:4" x14ac:dyDescent="0.25">
      <c r="A67" s="19"/>
      <c r="B67" s="16"/>
      <c r="C67" s="37"/>
      <c r="D67" s="37"/>
    </row>
    <row r="68" spans="1:4" x14ac:dyDescent="0.25">
      <c r="A68" s="19"/>
      <c r="B68" s="16"/>
      <c r="C68" s="37"/>
      <c r="D68" s="37"/>
    </row>
    <row r="69" spans="1:4" x14ac:dyDescent="0.25">
      <c r="A69" s="19"/>
      <c r="B69" s="16"/>
      <c r="C69" s="37"/>
      <c r="D69" s="37"/>
    </row>
    <row r="70" spans="1:4" x14ac:dyDescent="0.25">
      <c r="A70" s="19"/>
      <c r="B70" s="16"/>
      <c r="C70" s="37"/>
      <c r="D70" s="37"/>
    </row>
    <row r="71" spans="1:4" x14ac:dyDescent="0.25">
      <c r="A71" s="19"/>
      <c r="B71" s="16"/>
      <c r="C71" s="37"/>
      <c r="D71" s="37"/>
    </row>
    <row r="72" spans="1:4" x14ac:dyDescent="0.25">
      <c r="A72" s="19"/>
      <c r="B72" s="16"/>
      <c r="C72" s="37"/>
      <c r="D72" s="37"/>
    </row>
    <row r="73" spans="1:4" x14ac:dyDescent="0.25">
      <c r="A73" s="19"/>
      <c r="B73" s="16"/>
      <c r="C73" s="37"/>
      <c r="D73" s="37"/>
    </row>
    <row r="74" spans="1:4" x14ac:dyDescent="0.25">
      <c r="A74" s="19"/>
      <c r="B74" s="16"/>
      <c r="C74" s="37"/>
      <c r="D74" s="37"/>
    </row>
    <row r="75" spans="1:4" x14ac:dyDescent="0.25">
      <c r="A75" s="19"/>
      <c r="B75" s="16"/>
      <c r="C75" s="37"/>
      <c r="D75" s="37"/>
    </row>
    <row r="76" spans="1:4" x14ac:dyDescent="0.25">
      <c r="A76" s="19"/>
      <c r="B76" s="16"/>
      <c r="C76" s="37"/>
      <c r="D76" s="37"/>
    </row>
    <row r="77" spans="1:4" x14ac:dyDescent="0.25">
      <c r="A77" s="19"/>
      <c r="B77" s="16"/>
      <c r="C77" s="37"/>
      <c r="D77" s="37"/>
    </row>
    <row r="78" spans="1:4" x14ac:dyDescent="0.25">
      <c r="A78" s="19"/>
      <c r="B78" s="16"/>
      <c r="C78" s="37"/>
      <c r="D78" s="37"/>
    </row>
    <row r="79" spans="1:4" x14ac:dyDescent="0.25">
      <c r="A79" s="19"/>
      <c r="B79" s="16"/>
      <c r="C79" s="37"/>
      <c r="D79" s="37"/>
    </row>
    <row r="80" spans="1:4" x14ac:dyDescent="0.25">
      <c r="A80" s="19"/>
      <c r="B80" s="16"/>
      <c r="C80" s="37"/>
      <c r="D80" s="37"/>
    </row>
    <row r="81" spans="1:4" x14ac:dyDescent="0.25">
      <c r="A81" s="19"/>
      <c r="B81" s="16"/>
      <c r="C81" s="37"/>
      <c r="D81" s="37"/>
    </row>
    <row r="82" spans="1:2" x14ac:dyDescent="0.25">
      <c r="A82" s="15" t="s">
        <v>43</v>
      </c>
      <c r="B82" s="38">
        <f>SUM(B2:B81)</f>
      </c>
    </row>
  </sheetData>
  <sheetProtection sheet="1" formatColumns="0" formatRows="0" sort="0" autoFilter="0"/>
  <dataValidations count="2">
    <dataValidation type="list" allowBlank="1" sqref="C10:C81">
      <formula1>"M-Pesa,Cash,Bank,SACCO,Cheque"</formula1>
    </dataValidation>
    <dataValidation type="list" allowBlank="1" sqref="C2:C81">
      <formula1>"M-Pesa,Cash,Bank,SACCO,Cheque"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B1:C10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40" customWidth="1"/>
    <col min="3" max="3" width="22" customWidth="1"/>
  </cols>
  <sheetData>
    <row r="1" spans="2:2" x14ac:dyDescent="0.25">
      <c r="B1" s="13" t="s">
        <v>44</v>
      </c>
    </row>
    <row r="3" spans="2:3" x14ac:dyDescent="0.25">
      <c r="B3" s="15" t="s">
        <v>45</v>
      </c>
      <c r="C3" s="23">
        <f>'Loan Details'!C4</f>
      </c>
    </row>
    <row r="4" spans="2:3" x14ac:dyDescent="0.25">
      <c r="B4" s="15" t="s">
        <v>46</v>
      </c>
      <c r="C4" s="23">
        <f>'Loan Details'!C10</f>
      </c>
    </row>
    <row r="5" spans="2:3" x14ac:dyDescent="0.25">
      <c r="B5" s="15" t="s">
        <v>47</v>
      </c>
      <c r="C5" s="23">
        <f>'Loan Details'!C12</f>
      </c>
    </row>
    <row r="6" spans="2:3" x14ac:dyDescent="0.25">
      <c r="B6" s="15" t="s">
        <v>48</v>
      </c>
      <c r="C6" s="25">
        <f>'Loan Details'!C13</f>
      </c>
    </row>
    <row r="7" spans="2:3" x14ac:dyDescent="0.25">
      <c r="B7" s="15" t="s">
        <v>27</v>
      </c>
      <c r="C7" s="23">
        <f>'Loan Details'!C14</f>
      </c>
    </row>
    <row r="8" spans="2:3" x14ac:dyDescent="0.25">
      <c r="B8" s="15" t="s">
        <v>28</v>
      </c>
      <c r="C8" s="23">
        <f>'Loan Details'!C15</f>
      </c>
    </row>
    <row r="9" spans="2:3" x14ac:dyDescent="0.25">
      <c r="B9" s="15" t="s">
        <v>49</v>
      </c>
      <c r="C9" s="25">
        <f>COUNTIF('Repayment Schedule'!$H$2:$H$121,"OVERDUE")</f>
      </c>
    </row>
    <row r="10" spans="2:3" x14ac:dyDescent="0.25">
      <c r="B10" s="15" t="s">
        <v>29</v>
      </c>
      <c r="C10" s="39">
        <f>'Loan Details'!C16</f>
      </c>
    </row>
  </sheetData>
  <sheetProtection sheet="1" formatColumns="0" formatRows="0" sort="0" autoFilter="0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 Here</vt:lpstr>
      <vt:lpstr>Loan Details</vt:lpstr>
      <vt:lpstr>Repayment Schedule</vt:lpstr>
      <vt:lpstr>Payments Log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LeadAfrik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2026-07-30T10:28:43Z</dcterms:modified>
</cp:coreProperties>
</file>